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15" tabRatio="31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เงินอุดหนุน" sheetId="7" r:id="rId7"/>
    <sheet name="ดำเนินการเอง" sheetId="8" r:id="rId8"/>
  </sheets>
  <definedNames>
    <definedName name="_xlnm.Print_Titles" localSheetId="0">'1'!$4:$4</definedName>
    <definedName name="_xlnm.Print_Titles" localSheetId="1">'2'!$3:$3</definedName>
    <definedName name="_xlnm.Print_Titles" localSheetId="3">'4'!$3:$3</definedName>
    <definedName name="_xlnm.Print_Titles" localSheetId="6">'เงินอุดหนุน'!$9:$9</definedName>
  </definedNames>
  <calcPr fullCalcOnLoad="1"/>
</workbook>
</file>

<file path=xl/comments2.xml><?xml version="1.0" encoding="utf-8"?>
<comments xmlns="http://schemas.openxmlformats.org/spreadsheetml/2006/main">
  <authors>
    <author>iLLuSioN</author>
  </authors>
  <commentList>
    <comment ref="B12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<sst xmlns="http://schemas.openxmlformats.org/spreadsheetml/2006/main" count="395" uniqueCount="288">
  <si>
    <t xml:space="preserve">     1)   ยุทธศาสตร์การการพัฒนาโครงสร้างพื้นฐานการจราจรและผังเมืองรวม</t>
  </si>
  <si>
    <t>แนวทาง</t>
  </si>
  <si>
    <t>จำนวนเงิน</t>
  </si>
  <si>
    <t>รวม</t>
  </si>
  <si>
    <t>รวมทั้งสิ้น</t>
  </si>
  <si>
    <t>ความต้องการของประชาชนตาม พรบ.การศึกษาแห่งชาติ</t>
  </si>
  <si>
    <t>แนวทางส่งเสริมประกอบอาชีพ  และฝึกอาชีพ</t>
  </si>
  <si>
    <t>งบประมาณ การติดตามประเมินผลเพื่อให้เกิดความโปร่งใส และประสิทธิภาพในการทำงาน</t>
  </si>
  <si>
    <t>เพื่อลดการทำงานที่ซ้ำซ้อน และเพิ่มความรวดเร็วในการปฏิบัติงานให้มากขึ้น</t>
  </si>
  <si>
    <t>ให้ประชาชนและพนักงานได้รับส่งสารได้อย่างถูกต้องและรวดเร็ว</t>
  </si>
  <si>
    <t>สะดวกรวดเร็วเสมอภาค</t>
  </si>
  <si>
    <t>สภาพภูมิทัศน์ริมคลองให้สะอาดสวยงาม</t>
  </si>
  <si>
    <t>-</t>
  </si>
  <si>
    <t>ให้มีความสะอาดมีความเป็นระเบียบเรียบร้อย</t>
  </si>
  <si>
    <t>สร้างแรงจูงใจในการเสียภาษี  ประชาสัมพันธ์</t>
  </si>
  <si>
    <t xml:space="preserve">    -  โครงการประชาสัมพันธ์โครงการสอบราคาจ้างและแผนการจัดหาพัสดุทาง </t>
  </si>
  <si>
    <t>5.)  ยุทธศาสตร์ด้านสิ่งแวดล้อมและพัฒนาระบบป้องกันและแก้ไขปัญหาน้ำท่วม</t>
  </si>
  <si>
    <t>6. )  ยุทธศาสตร์ด้านการเงินการคลัง</t>
  </si>
  <si>
    <t>ลำดับที่</t>
  </si>
  <si>
    <t>รายการ</t>
  </si>
  <si>
    <t>4.) ยุทธศาสตร์ด้านการบริหารและการจัดการองค์กร</t>
  </si>
  <si>
    <t xml:space="preserve">         สำนักงานปลัด</t>
  </si>
  <si>
    <t>.</t>
  </si>
  <si>
    <t xml:space="preserve">         วัสดุสำนักงาน</t>
  </si>
  <si>
    <t xml:space="preserve">          วัสดุคอมพิวเตอร์  </t>
  </si>
  <si>
    <t xml:space="preserve">          วัสดุยานพาหนะและขนส่ง</t>
  </si>
  <si>
    <t xml:space="preserve">          วัสดุเชื้อเพลิงและหล่อลื่น </t>
  </si>
  <si>
    <t xml:space="preserve">           แบบพิมพ์</t>
  </si>
  <si>
    <t xml:space="preserve">           วัสดุโฆษณา</t>
  </si>
  <si>
    <t xml:space="preserve">           วัสดุงานบ้านงานครัว</t>
  </si>
  <si>
    <t xml:space="preserve">                    
---------*            
</t>
  </si>
  <si>
    <t>อุดหนุนคณะกรรมการหมู่บ้าน หมู่ที่  7 (จัดประเพณีลอยกระทง)</t>
  </si>
  <si>
    <t>อุดหนุนคณะกรรมการหมู่บ้าน หมู่ที่  6 (จัดประเพณีลอยกระทง)</t>
  </si>
  <si>
    <t>อุดหนุนคณะกรรมการหมู่บ้าน หมู่ที่  5 (จัดประเพณีลอยกระทง)</t>
  </si>
  <si>
    <t>อุดหนุนคณะกรรมการหมู่บ้าน หมู่ที่  1 (จัดประเพณีลอยกระทง)</t>
  </si>
  <si>
    <t>อุดหนุนคณะกรรมการหมู่บ้าน หมู่ที่  8 (จัดประเพณีลอยกระทง)</t>
  </si>
  <si>
    <t>อุดหนุนคณะกรรมการหมู่บ้าน หมู่ที่ 6 (จัดกิจกรรมวันเด็ก)</t>
  </si>
  <si>
    <t>อุดหนุนคณะกรรมการหมู่บ้าน หมู่ที่ 5 (จัดกิจกรรมวันเด็ก)</t>
  </si>
  <si>
    <t>อุดหนุนคณะกรรมการหมู่บ้าน หมู่ที่ 7 (จัดกิจกรรมวันเด็ก)</t>
  </si>
  <si>
    <t>อุดหนุนคณะกรรมการหมู่บ้าน หมู่ที่ 3 (จัดกิจกรรมวันเด็ก)</t>
  </si>
  <si>
    <t>แนวทางพัฒนาการบริหารจัดการท่องเที่ยวขององค์การบริหารส่วนตำบล</t>
  </si>
  <si>
    <t>อุดหนุนศูนย์การเรียนรู้ตำบลชะมาย (ศรช.)</t>
  </si>
  <si>
    <t>ให้บริการประชาชนอย่างทั่วถึง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</si>
  <si>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</si>
  <si>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</si>
  <si>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</si>
  <si>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</si>
  <si>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</si>
  <si>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</si>
  <si>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</si>
  <si>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</si>
  <si>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</si>
  <si>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</si>
  <si>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</si>
  <si>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</si>
  <si>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</si>
  <si>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</si>
  <si>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</si>
  <si>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</si>
  <si>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</si>
  <si>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</t>
  </si>
  <si>
    <t xml:space="preserve"> แนวทางพัฒนาการให้บริการทางการศึกษาให้ครอบคลุม  และตอบสนอง</t>
  </si>
  <si>
    <t xml:space="preserve"> โครงการจ้างเหมาทำ อาหารโรงเรียน</t>
  </si>
  <si>
    <t>โครงการสนับสนุนส่งเสริมกิจกรรมวิชาการในโรงเรียน</t>
  </si>
  <si>
    <t>โครงการจ้างเหมาทำอาหารศูนย์พัฒนาเด็กเล็ก</t>
  </si>
  <si>
    <t>โครงการสนับสนุนส่งเสริมกิจกรรมวันสำคัญและนันทนาการในโรงเรียน</t>
  </si>
  <si>
    <t xml:space="preserve"> แนวทางอนุรักษ์เผยแพร่  และปลูกฝังศิลปวัฒนธรรม  และภูมิปัญญาท้องถิ่น</t>
  </si>
  <si>
    <t xml:space="preserve"> โครงการจัดงานประเพณีชักพระ</t>
  </si>
  <si>
    <t xml:space="preserve">โครงการจัดงานทำบุญวันขึ้นปีใหม่ </t>
  </si>
  <si>
    <t xml:space="preserve">โครงการจัดพิธีวันผู้สูงอายุและวันกตัญญูในวันสงกรานต์ </t>
  </si>
  <si>
    <t xml:space="preserve">โครงการจัดงานวันปิยะมหาราช </t>
  </si>
  <si>
    <t>โครงการจัดงานวันเด็ก</t>
  </si>
  <si>
    <t xml:space="preserve"> แนวทางสนับสนุนและพัฒนาการศึกษานอกระบบ</t>
  </si>
  <si>
    <t>5.</t>
  </si>
  <si>
    <t>4.</t>
  </si>
  <si>
    <t>โครงการควบคุมป้องกันโรคไข้เลือดออก  และโรคติดต่ออื่น  ๆ</t>
  </si>
  <si>
    <t>6.</t>
  </si>
  <si>
    <t> โครงการจัดซื้ออาหารเสริม(นม)</t>
  </si>
  <si>
    <t> โครงการพัฒนาศักยภาพอาสาสมัครสาธารณสุขตำบลชะมาย</t>
  </si>
  <si>
    <t>7.</t>
  </si>
  <si>
    <t xml:space="preserve"> แนวทางคุ้มครองผู้บริโภคให้มีความปลอดภัย</t>
  </si>
  <si>
    <t>8.</t>
  </si>
  <si>
    <t>9.</t>
  </si>
  <si>
    <t xml:space="preserve"> แนวทางให้กีฬาเป็นยุทธศาสตร์พัฒนาคนและสังคมฯ</t>
  </si>
  <si>
    <t xml:space="preserve">  แนวทางสนับสนุนอุปกรณ์กีฬาสู่โรงเรียนและชุมชน</t>
  </si>
  <si>
    <t xml:space="preserve">อุดหนุนประเพณีแห่ผ้าขึ้นธาตุ </t>
  </si>
  <si>
    <t>โครงการจัดงานเดือนสิบ</t>
  </si>
  <si>
    <t>โครงการจัดงานประเพณีลอยกระทง</t>
  </si>
  <si>
    <t>โครงการสำรวจข้อมูล จปฐ. เขตเมือง</t>
  </si>
  <si>
    <t>โครงการป้องกันและควบคุมโรคพิษสุนัขบ้า</t>
  </si>
  <si>
    <t>โครงการจัดซื้อวัสดุอุปกรณ์กีฬา</t>
  </si>
  <si>
    <t>โครงการปรับปรุงศูนย์พัฒนาเด็กเล็กพร้อมจัดซื้ออุปกรณ์การเรียนการสอน</t>
  </si>
  <si>
    <t>โครงการปกป้องสถาบันชาติ (โครงการเทิดทูนสถาบัน)</t>
  </si>
  <si>
    <t>โครงการป้องกัยและแก้ไขปัญหายาเสพติด</t>
  </si>
  <si>
    <t>2.2</t>
  </si>
  <si>
    <t>2.</t>
  </si>
  <si>
    <t>2.1</t>
  </si>
  <si>
    <t>3.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</si>
  <si>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</si>
  <si>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</si>
  <si>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</si>
  <si>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</si>
  <si>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</si>
  <si>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</si>
  <si>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</si>
  <si>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</si>
  <si>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</si>
  <si>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</si>
  <si>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</si>
  <si>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</si>
  <si>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</si>
  <si>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</si>
  <si>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6.1</t>
  </si>
  <si>
    <t>6.2</t>
  </si>
  <si>
    <t>6.3</t>
  </si>
  <si>
    <t>โครงการพัฒนากลุ่มยุทธศาสตร์พัฒนา</t>
  </si>
  <si>
    <t>โครงการส่งเสริมและฝึกอาชีพประชาชน</t>
  </si>
  <si>
    <t>โครงการประชาสัมพันธ์เผยแพร่ข้อมูลแหล่งท่องเที่ยว</t>
  </si>
  <si>
    <t>3.1</t>
  </si>
  <si>
    <t>ความเสมอภาคในการใช้พื้นที่ถนนและพัฒนาระบบขนส่งที่ยั่งยืน</t>
  </si>
  <si>
    <t xml:space="preserve">จัดระบบจราจรขนส่งให้มีประสิทธิภาพ  มีความปลอดภัยในการสัญจร  </t>
  </si>
  <si>
    <t xml:space="preserve">จัดวางและจัดทำผังเมืองรวมเพื่อดำรงรักษาเมืองและบริเวณที่เกี่ยวข้องหรือชนบท  </t>
  </si>
  <si>
    <t xml:space="preserve"> ปรับปรุงผังเมืองรวมเมืองทุ่งสง(เฉพาะค่าใช้จ่ายของอบต.ชะมาย)</t>
  </si>
  <si>
    <t>5.1</t>
  </si>
  <si>
    <t>8.1</t>
  </si>
  <si>
    <t>8.2</t>
  </si>
  <si>
    <t>9.1</t>
  </si>
  <si>
    <t>9.2</t>
  </si>
  <si>
    <t>10.</t>
  </si>
  <si>
    <t>แนวทางพัฒนาประสิทธิภาพในการบริหารโดยให้ประชาชนมีส่วนร่วมในการจัดทำแผนพัฒนา</t>
  </si>
  <si>
    <t>โครงการจัดทำแผนพัฒนาตำบล</t>
  </si>
  <si>
    <t>โครงการจัดการเลือกตั้ง</t>
  </si>
  <si>
    <t>แนวทางพัฒนาระบบบริหารงานบุคคลให้เป็นไปตามระบบคุณธรรม และระบบจูงใจในการทำงาน</t>
  </si>
  <si>
    <t xml:space="preserve">  โครงการสนับสนุนการศึกษาต่อในระดับปริญญาตรีและปริญญาโท</t>
  </si>
  <si>
    <t xml:space="preserve"> แนวทางปรับปรุงประสิทธิภาพในการประสานงานระหว่างหน่วยงานต่าง ๆ  </t>
  </si>
  <si>
    <t>โครงการปรับปรุงเครื่องมือสื่อสาร</t>
  </si>
  <si>
    <t xml:space="preserve">แนวทางปรับปรุงประสิทธิภาพในการให้บริการให้ข้อมูลข่าวสารแก่ประชาชน  </t>
  </si>
  <si>
    <t>จัดทำป้าย โปสเตอร์ประชาสัมพันธ์โครงการต่าง ๆ  ของอบต.</t>
  </si>
  <si>
    <t>เพิ่มประสิทธิภาพวิธีการทำงาน</t>
  </si>
  <si>
    <t>โครงการจัดหาวัสดุ  และครุภัณฑ์ต่าง ๆ</t>
  </si>
  <si>
    <t>โครงการสำรวจความพึงพอใจของผู้รับบริการเพื่อปรับปรุงและพัฒนา</t>
  </si>
  <si>
    <t>ค่าใช้จ่ายเกี่ยวกับสมาชิกอปพร.</t>
  </si>
  <si>
    <t>โครงการลดอุบัติเหตุบนท้องถนน</t>
  </si>
  <si>
    <t>พัฒนาสถานที่  อุปกรณ์  และสิ่งอำนวยความสะดวกในการให้บริการ</t>
  </si>
  <si>
    <t>เพิ่มประสิทธิภาพการป้องกันภัยฝ่ายพลเรือน</t>
  </si>
  <si>
    <t>โครงการบำรุงรักษาและซ่อมแซมทรัพย์สิน</t>
  </si>
  <si>
    <t>พัฒนาบุคลากรให้มีทัศนคติที่ดีและมีใจรักในการให้บริการ</t>
  </si>
  <si>
    <t>โครงการอบรมพนักงานลูกจ้างผู้บริหารและสมาชิกสภาฯ</t>
  </si>
  <si>
    <t>นำระบบเทคโนโลยีสารสนเทศฯ  หรือเทคโนโลยีสมัยใหม่มาใช้บริการให้มีความ</t>
  </si>
  <si>
    <t>โครงการจัดทำระบบเครือข่ายและอินเตอร์แน็ต</t>
  </si>
  <si>
    <t>โครงการจัดหาคอมพิวเตอร์ และอุปกรณ์ อื่น ๆ</t>
  </si>
  <si>
    <t>การให้บริการคำนึงถึงความสะดวกและรวดเร็วโดยไม่ให้ประชาชนเสียเวลาและลดค่าใช้จ่าย</t>
  </si>
  <si>
    <t>2.3</t>
  </si>
  <si>
    <t>ปรับปรุงผิวจราจรถนนในเขตตำบลชะมาย (ดำเนินการเอง)</t>
  </si>
  <si>
    <t xml:space="preserve">     -  ขุดลอกคูคลองระบายน้ำสาธารณะดำเนินการเองโดยใช้รถตักหน้าขุดหลัง</t>
  </si>
  <si>
    <t>จัดซื้อวัสดุ-อุปกรณ์เพื่อใช้ในการป้องกันและบรรเทาสาธารณะ</t>
  </si>
  <si>
    <t>แนวทางปรับปรุงภูมิทัศน์ของคูคลอง  โดยให้ประชาชนร่วมมือและสนับสนุนการพัฒนา</t>
  </si>
  <si>
    <t>โครงการดูแลสิ่งแวดล้อมทางสาธารณะในชุมชน</t>
  </si>
  <si>
    <t>แนวทางเพิ่มประสิทธิภาพในการส่งเสริมและรักษาสภาพแวดล้อมในชุมชน</t>
  </si>
  <si>
    <t>โครงการขุดลอกคูคลอง</t>
  </si>
  <si>
    <t>แนวทางเพิ่มประสิทธิภาพในการจัดการมูลฝอย  สิ่งปฏิกูล  และของเสียอันตราย</t>
  </si>
  <si>
    <t>โครงการจัดการเรื่องที่ทิ้งกลบมูลฝอย</t>
  </si>
  <si>
    <t xml:space="preserve">   -  ปรับปรุงระบบแผนที่ภาษีและทะเบียนทรัพย์สินของอบต.ชะมาย หมู่ที่ 1 – 8 </t>
  </si>
  <si>
    <t>โครงการส่งเสริมและพัฒนาศักยภาพผู้สูงอายุ</t>
  </si>
  <si>
    <t xml:space="preserve">โครงการสงเคราะห์ผู้สูงอายุ  </t>
  </si>
  <si>
    <t>โครงการสงเคราะห์ผู้พิการ</t>
  </si>
  <si>
    <t>โครงการสงเคราะห์ผู้ป่วยโรคเอดส์</t>
  </si>
  <si>
    <t>แนวทางพัฒนาการให้บริการด้านสาธารณะสุข</t>
  </si>
  <si>
    <t>เบี้ยยังชีพผู้สูงอายุตามนโยบายของรัฐบาล</t>
  </si>
  <si>
    <t>เบี้ยยังชีพคนพิการ(โครงการจัดสวัสดิการเบี้ยความพิการ)</t>
  </si>
  <si>
    <t>สนับสนุนพัฒนาศักยภาพคนและครอบครัว</t>
  </si>
  <si>
    <t>อุดหนุนคณะกรรมการหมู่บ้าน หมู่ที่  5 (จัดงานวันผู้สูงอายุ)</t>
  </si>
  <si>
    <t>อุดหนุนคณะกรรมการหมู่บ้าน หมู่ที่  6 (จัดงานวันผู้สูงอายุ)</t>
  </si>
  <si>
    <t>อุดหนุนคณะกรรมการหมู่บ้าน หมู่ที่  8 (จัดงานวันผู้สูงอายุ)</t>
  </si>
  <si>
    <t>จัดสรรงบประมาณพัฒนาระบบสาธารณูปโภคในชุมชน  เพื่ออำนวยความสะดวกและ</t>
  </si>
  <si>
    <t>5.2</t>
  </si>
  <si>
    <t>5.3</t>
  </si>
  <si>
    <t>5.4</t>
  </si>
  <si>
    <t>5.5</t>
  </si>
  <si>
    <t>5.6</t>
  </si>
  <si>
    <t>โครงการประชาสัมพันธ์</t>
  </si>
  <si>
    <t>โครงการสร้างแรงจูงใจในการชำระภาษี</t>
  </si>
  <si>
    <t xml:space="preserve">แนวทางจัดทำแผนที่ภาษีให้เป็นปัจจุบันและถูกต้อง  นำแผนที่ภาษีมาจัดเก็บอย่างต่อเนื่อง  </t>
  </si>
  <si>
    <t>แนวทางสร้างแรงจูงใจในการ   เสียภาษี  ประชาสัมพันธ์และขอความร่วมมือจากผู้เสียภาษี</t>
  </si>
  <si>
    <t>ค่าล่วงเวลา</t>
  </si>
  <si>
    <t>ค่าเช่าบ้าน</t>
  </si>
  <si>
    <t>ค่ารักษาพยาบาล</t>
  </si>
  <si>
    <t>ค่าการศึกษาบุตร</t>
  </si>
  <si>
    <t>เงินประโยชน์ตอบแทนอื่นเป็นกรณีพิเศษ ๆ</t>
  </si>
  <si>
    <t>ค่าตอบแทนค่าจ้างประจำและพนักงานจ้าง</t>
  </si>
  <si>
    <t>สวัสดิการพนักงานส่วนตำบลลูกจ้างประจำและพนักงานจ้างตามสิทธิที่พึงได้รับ</t>
  </si>
  <si>
    <t>สาธารณูปโภคสำนักงานและสถานที่สาธารณะ</t>
  </si>
  <si>
    <t>โครงการฝึกอบรมและทัศนศึกษาดูงาน</t>
  </si>
  <si>
    <t>2)  ยุทธศาสตร์ด้านพัฒนาคนและสังคม</t>
  </si>
  <si>
    <t xml:space="preserve">โครงการจัดงาน 12 สิงหามหาราชินี  </t>
  </si>
  <si>
    <t xml:space="preserve">โครงการจัดงาน  5   ธันวามหาราช </t>
  </si>
  <si>
    <t xml:space="preserve"> 3) ยุทธศาสตร์ด้านการพัฒนาเศรษฐกิจและแก้ไขปัญหาความยากจน</t>
  </si>
  <si>
    <t>web site  www.chamailocal.go.th    และศูนย์ข้อมูลข่าวสารอบต.ชะมาย</t>
  </si>
  <si>
    <t xml:space="preserve">แนวทางพัฒนาให้บริการด้านสวัสดิการสังคมปรับปรุงการจัดระเบียบชุมชนและพัฒนาให้มีประสิทธิภาพ  </t>
  </si>
  <si>
    <t>โครงการพัฒนากิจกรรมกีฬาต่าง ๆ  ให้มีความหลากหลายและจูงใจทุกกลุ่ม และทุกวัยรวมถึง</t>
  </si>
  <si>
    <t>ผู้ด้อยโอกาสให้มีการเล่นกีฬามากขึ้น</t>
  </si>
  <si>
    <t>โครงการจัดเก็บภาษีนอกสถานที่</t>
  </si>
  <si>
    <t>2</t>
  </si>
  <si>
    <t>3</t>
  </si>
  <si>
    <t>แนวทางจัดซื้อจัดจ้างมีการแข่งขันอย่างเป็นธรรม  โปร่งใส  ตรวจสอบได้</t>
  </si>
  <si>
    <t>โครงการอบรมพนักงานลูกจ้างผู้บริหารและสมาชิกสภาฯ (ทต.จัดเอง)</t>
  </si>
  <si>
    <t>โครงการจัดซื้อถังขยะ</t>
  </si>
  <si>
    <t>รายละเอียดเงินอุดหนุนของเทศบาลตำบลชะมาย</t>
  </si>
  <si>
    <t xml:space="preserve"> 1.1  ค่าใช้จ่ายในการส่งเสริมศูนย์บริการและถ่ายทอดเทคโนโลยีการเกษตรประจำตำบล</t>
  </si>
  <si>
    <t xml:space="preserve"> 1.2 อุดหนุนกลุ่มพัฒนาสตรีบ้านเขากลาย  หมู่ที่  3</t>
  </si>
  <si>
    <t>งบประมาณ</t>
  </si>
  <si>
    <t>รายงานผลการปฏิบัติงานเทศบาลตำบลชะมาย  ประจำปี 2555</t>
  </si>
  <si>
    <t>วางท่อระบายน้ำคสล.ถนนสายหนองเหรียง-คลองจัง  หมู่ที่  6</t>
  </si>
  <si>
    <t>ปรับปรุงถนนสายบ้านนายแก้ว  รัตนสุภา  หมู่ที่ 4</t>
  </si>
  <si>
    <t>บุกเบิกถนนสานนาคำทวด  ซอย 9 หมู่ที่ 6</t>
  </si>
  <si>
    <t>ปรับปรุงถนนสานหลังวัดเขากลาย-คลองนา  หมู่ที่ 3</t>
  </si>
  <si>
    <t>ปรับปรุงถนนสานบ้านต้นแค-วังหีบ 2 หมู่ที่ 5</t>
  </si>
  <si>
    <t>ปรับปรุงถนนสายทิพย์มงคล  หมู่ที่ 7</t>
  </si>
  <si>
    <t>ปรับปรุงถนนสายซ้อยเจริญ  หมู่ที่ 2</t>
  </si>
  <si>
    <t>วางท่อระบายน้ำหน้าหมู่บ้านสุมิตราริมถนนสำโรง หมู่ที่  7</t>
  </si>
  <si>
    <t xml:space="preserve">ก่อสร้างอาคารที่ทำการอบต.ชะมาย งวดที่ 3 - 9 </t>
  </si>
  <si>
    <t>ปรับปรุงถนนสายโรงแรมทองภักดี หมู่ที่ 1</t>
  </si>
  <si>
    <t>ปรับปรุงถนนบริเวณตลาดเกษตร  หมู่ที่  2</t>
  </si>
  <si>
    <t>ก่อสร้างรางระบายน้ำถนนสายซอยฝาแฝด  หมู่ที่ 8</t>
  </si>
  <si>
    <t>ขยายเขตไฟฟ้าอาคารสำนักงานใหม่   หมู่ที่ 6</t>
  </si>
  <si>
    <t>- วัดเขากลาย</t>
  </si>
  <si>
    <t>- วัดวังหีบ</t>
  </si>
  <si>
    <t>- บ้านหนองหว้า</t>
  </si>
  <si>
    <t>แผงกั้นจราจร</t>
  </si>
  <si>
    <t xml:space="preserve"> ส่งเสริมการดำเนินงานของสภาวัฒนธรรมตำบลชะมาย</t>
  </si>
  <si>
    <t>สมทบหลักประกันสุขภาพตำบลชะมาย</t>
  </si>
  <si>
    <t>โครงการสานสัมพันธ์สายใยครอบครัว</t>
  </si>
  <si>
    <t xml:space="preserve">           วัสดุไฟฟ้าและวิทยุ</t>
  </si>
  <si>
    <t xml:space="preserve">      -  ขุดลอกลำเหมืองสายคลอง หมู่ที่ 1,6</t>
  </si>
  <si>
    <t>6.4</t>
  </si>
  <si>
    <t>ช่วยเหลือผู้ประสบภัยพิบัติในตำบลชะมาย</t>
  </si>
  <si>
    <t xml:space="preserve">           โต๊ะทำงานระดับ 3-6 </t>
  </si>
  <si>
    <t>โครงการเทศบาลตำบลชะมายพบประชาชน</t>
  </si>
  <si>
    <t xml:space="preserve">           โต๊ะทำงานระดับ 7-9</t>
  </si>
  <si>
    <t xml:space="preserve"> ติดตั้งกระจกโค้ง  </t>
  </si>
  <si>
    <t>โครงการจัดซื้อรถบรรทุกขยะ</t>
  </si>
  <si>
    <t xml:space="preserve">           ตู้เหล็กบานเลื่อน</t>
  </si>
  <si>
    <t>โครงการวางท่อระบายน้ำและก่อสร้างถนนที่ดำเนินการเองในปี พ.ศ. 2555</t>
  </si>
  <si>
    <t xml:space="preserve">           เก้าอี้ทำงานระดับ 3-6 </t>
  </si>
  <si>
    <t xml:space="preserve">           วัสดุก่อสร้าง</t>
  </si>
  <si>
    <t>1.17</t>
  </si>
  <si>
    <t>1.18</t>
  </si>
  <si>
    <t>1.19</t>
  </si>
  <si>
    <t>1.20</t>
  </si>
  <si>
    <t>1.21</t>
  </si>
  <si>
    <t>1.22</t>
  </si>
  <si>
    <t>1.23</t>
  </si>
  <si>
    <t>ปรับปรุงถนนสายโบสถ์คริสต์-เขตอบต.หนองหงส์ หมู่ที่ 1</t>
  </si>
  <si>
    <t>ปรับปรุงถนนสายหน้าบ้านพันตำรวจตรีเอื้อน  รัตนพันธ์ หมู่ที่  8</t>
  </si>
  <si>
    <t>ปรับปรุงถนนสายซอยนายมังกร  หมู่ที่  2</t>
  </si>
  <si>
    <t>ปรับปรุงถนนสานบ้านนายเคลือบ  จรนิตย์  หมู่ที่  2</t>
  </si>
  <si>
    <t>ปรับปรุงถนนสายบ้านนายไพฑูรย์  มะลิวัลย์  หมู่ที่  6</t>
  </si>
  <si>
    <t>อุดหนุนโรงเรียนบ้านวัดวังหีบ (อาหารกลางวัน ภาคเรียนที่ 2/2554)</t>
  </si>
  <si>
    <t>อุดหนุนคณะกรรมการหมู่บ้าน หมู่ที่  4 (จัดประเพณีลอยกระทง)</t>
  </si>
  <si>
    <t>อุดหนุนคณะกรรมการหมู่บ้าน หมู่ที่  2,3 (จัดประเพณีลอยกระทง)</t>
  </si>
  <si>
    <t>อุดหนุนโรงเรียนบ้านวัดเขากลาย (อาหารกลางวัน ภาคเรียนที่ 2/2554)</t>
  </si>
  <si>
    <t>อุดหนุนคณะกรรมการหมู่บ้าน หมู่ที่  7 (จัดงานวันผู้สูงอายุ)</t>
  </si>
  <si>
    <t>อุดหนุนโรงเรียนบ้านหนองหว้า (อาหารกลางวัน ภาคเรียนที่  1/2555)</t>
  </si>
  <si>
    <t>อุดหนุนโรงเรียนบ้านวัดเขากลาย (อาหารกลางวัน ภาคเรียนที่ 1/2555)</t>
  </si>
  <si>
    <t>อุดหนุนโรงเรียนบ้านวัดวังหีบ (อาหารกลางวัน ภาคเรียนที่ 1/2555)</t>
  </si>
  <si>
    <t>อุดหนุนโครงการส่งเสริมการเรียนการสอนโรงเรียนวัดเขากลาย</t>
  </si>
  <si>
    <t>อุดหนุนโครงการส่งเสริมการเรียนการสอนโรงเรียนวัดวังหีบ</t>
  </si>
  <si>
    <t>อุดหนุนสภาวัฒนธรรมตำบลชะมาย</t>
  </si>
  <si>
    <t>อุดหนุนโครงการส่งเสริมการเรียนการสอนโรงเรียนบ้านหนองหว้า</t>
  </si>
  <si>
    <t>อุดหนุนกลุ่มพัฒนาสตรี หมู่ที่  3 บ้านเขากลาย</t>
  </si>
  <si>
    <t xml:space="preserve">         กองคลัง</t>
  </si>
  <si>
    <t xml:space="preserve">         กองช่าง</t>
  </si>
  <si>
    <t>1.24</t>
  </si>
  <si>
    <t>5.7</t>
  </si>
  <si>
    <t>5.8</t>
  </si>
  <si>
    <t>ปรับปรุงถนนสายบ้านร้อยตำรวจตรีเจริญ  สุชาติพงษ์ หมู่ที่  6</t>
  </si>
  <si>
    <t>ปรับปรุงถนนสายลายพิศอุทิศ (สวนไม้สัก) หมู่ที่ 4</t>
  </si>
  <si>
    <t xml:space="preserve">ก่อสร้างคูระบายน้ำ คสล.  ถนนทุ่งสง-นาบอน หมู่ที่ 7 </t>
  </si>
  <si>
    <t>(จากบ้านเลขที่  201/3- 131)</t>
  </si>
  <si>
    <t>วางท่อระบายน้ำ คสล. ถนนสายซอยนายมังกร  หมู่ที่  2</t>
  </si>
  <si>
    <t>วางแผ่นพื้นทางเดินสำเร็จรูป ทางเดินข้ามลำเหมือง</t>
  </si>
  <si>
    <t>สาธารณประโยชน์ของราษฎร  หมู่ที่  5</t>
  </si>
  <si>
    <t>วางท่อระบายน้ำบ้านนายไสว  ชนะคช  หมู่ที่  8</t>
  </si>
  <si>
    <t>โครงการอุดหนุนศูนย์เรียนรู้ชุมชน</t>
  </si>
  <si>
    <t xml:space="preserve"> จัดซื้อเครื่องแต่งกายให้พนักงานจ้างเพื่อใช้ในการปฏิบัติงานของทต. และสร้างแรงจูงใจในการทำงาน </t>
  </si>
  <si>
    <t>ปรับปรุงถนนสายห้วยขัน ซอย 4  หมู่ที่  4</t>
  </si>
  <si>
    <t>ปรับปรุงถนนสายบ้านนายสมนึก  หอมหวน  หมู่ที่ 1</t>
  </si>
  <si>
    <t>ปรับปรุงถนนสายบ้านนางนงค์  หมู่ที่  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</si>
</sst>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</numFmts>
  <fonts count="5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6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sz val="15"/>
      <color indexed="10"/>
      <name val="TH SarabunPSK"/>
      <family val="2"/>
    </font>
    <font>
      <sz val="15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47" fillId="22" borderId="1" applyNumberFormat="0" applyAlignment="0" applyProtection="0"/>
    <xf numFmtId="0" fontId="48" fillId="23" borderId="0" applyNumberFormat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4" fillId="0" borderId="11" xfId="33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12" xfId="33" applyFont="1" applyBorder="1" applyAlignment="1">
      <alignment/>
    </xf>
    <xf numFmtId="0" fontId="6" fillId="0" borderId="13" xfId="0" applyFont="1" applyBorder="1" applyAlignment="1" quotePrefix="1">
      <alignment/>
    </xf>
    <xf numFmtId="43" fontId="6" fillId="0" borderId="14" xfId="33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vertical="top" wrapText="1"/>
    </xf>
    <xf numFmtId="43" fontId="6" fillId="0" borderId="11" xfId="33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3" fontId="4" fillId="0" borderId="11" xfId="33" applyFont="1" applyBorder="1" applyAlignment="1">
      <alignment/>
    </xf>
    <xf numFmtId="0" fontId="6" fillId="0" borderId="11" xfId="0" applyFont="1" applyBorder="1" applyAlignment="1" quotePrefix="1">
      <alignment horizontal="right"/>
    </xf>
    <xf numFmtId="43" fontId="6" fillId="0" borderId="11" xfId="33" applyFont="1" applyBorder="1" applyAlignment="1">
      <alignment horizontal="center"/>
    </xf>
    <xf numFmtId="43" fontId="4" fillId="0" borderId="15" xfId="33" applyFont="1" applyBorder="1" applyAlignment="1">
      <alignment/>
    </xf>
    <xf numFmtId="43" fontId="6" fillId="0" borderId="0" xfId="33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43" fontId="7" fillId="0" borderId="12" xfId="33" applyNumberFormat="1" applyFont="1" applyBorder="1" applyAlignment="1">
      <alignment/>
    </xf>
    <xf numFmtId="0" fontId="7" fillId="0" borderId="13" xfId="0" applyFont="1" applyBorder="1" applyAlignment="1">
      <alignment/>
    </xf>
    <xf numFmtId="43" fontId="7" fillId="0" borderId="14" xfId="33" applyNumberFormat="1" applyFont="1" applyBorder="1" applyAlignment="1">
      <alignment/>
    </xf>
    <xf numFmtId="0" fontId="7" fillId="0" borderId="11" xfId="0" applyFont="1" applyBorder="1" applyAlignment="1" quotePrefix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11" xfId="33" applyNumberFormat="1" applyFont="1" applyBorder="1" applyAlignment="1">
      <alignment/>
    </xf>
    <xf numFmtId="43" fontId="8" fillId="0" borderId="15" xfId="33" applyNumberFormat="1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4" xfId="33" applyFont="1" applyBorder="1" applyAlignment="1">
      <alignment/>
    </xf>
    <xf numFmtId="0" fontId="7" fillId="0" borderId="11" xfId="0" applyFont="1" applyBorder="1" applyAlignment="1">
      <alignment vertical="top" wrapText="1"/>
    </xf>
    <xf numFmtId="43" fontId="7" fillId="0" borderId="0" xfId="0" applyNumberFormat="1" applyFont="1" applyAlignment="1">
      <alignment/>
    </xf>
    <xf numFmtId="43" fontId="7" fillId="0" borderId="0" xfId="33" applyFont="1" applyAlignment="1">
      <alignment/>
    </xf>
    <xf numFmtId="43" fontId="7" fillId="0" borderId="11" xfId="33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43" fontId="8" fillId="0" borderId="11" xfId="33" applyNumberFormat="1" applyFont="1" applyBorder="1" applyAlignment="1">
      <alignment/>
    </xf>
    <xf numFmtId="43" fontId="8" fillId="0" borderId="16" xfId="33" applyFont="1" applyBorder="1" applyAlignment="1">
      <alignment/>
    </xf>
    <xf numFmtId="43" fontId="7" fillId="0" borderId="0" xfId="33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43" fontId="7" fillId="0" borderId="11" xfId="33" applyFont="1" applyBorder="1" applyAlignment="1">
      <alignment/>
    </xf>
    <xf numFmtId="43" fontId="8" fillId="0" borderId="15" xfId="33" applyFont="1" applyBorder="1" applyAlignment="1">
      <alignment/>
    </xf>
    <xf numFmtId="43" fontId="7" fillId="0" borderId="11" xfId="33" applyFont="1" applyBorder="1" applyAlignment="1">
      <alignment horizontal="center"/>
    </xf>
    <xf numFmtId="43" fontId="8" fillId="0" borderId="11" xfId="33" applyFont="1" applyBorder="1" applyAlignment="1">
      <alignment/>
    </xf>
    <xf numFmtId="43" fontId="5" fillId="0" borderId="0" xfId="33" applyFont="1" applyAlignment="1">
      <alignment/>
    </xf>
    <xf numFmtId="0" fontId="9" fillId="0" borderId="0" xfId="0" applyFont="1" applyAlignment="1">
      <alignment/>
    </xf>
    <xf numFmtId="0" fontId="7" fillId="0" borderId="17" xfId="0" applyFont="1" applyBorder="1" applyAlignment="1">
      <alignment/>
    </xf>
    <xf numFmtId="43" fontId="6" fillId="0" borderId="12" xfId="33" applyFont="1" applyBorder="1" applyAlignment="1">
      <alignment horizontal="center"/>
    </xf>
    <xf numFmtId="0" fontId="6" fillId="0" borderId="14" xfId="0" applyFont="1" applyBorder="1" applyAlignment="1">
      <alignment/>
    </xf>
    <xf numFmtId="43" fontId="6" fillId="0" borderId="14" xfId="33" applyFont="1" applyBorder="1" applyAlignment="1">
      <alignment horizontal="center"/>
    </xf>
    <xf numFmtId="0" fontId="6" fillId="0" borderId="18" xfId="0" applyFont="1" applyBorder="1" applyAlignment="1" quotePrefix="1">
      <alignment horizontal="right"/>
    </xf>
    <xf numFmtId="43" fontId="7" fillId="0" borderId="12" xfId="33" applyFont="1" applyBorder="1" applyAlignment="1">
      <alignment/>
    </xf>
    <xf numFmtId="0" fontId="6" fillId="0" borderId="17" xfId="0" applyFont="1" applyBorder="1" applyAlignment="1" quotePrefix="1">
      <alignment horizontal="right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 quotePrefix="1">
      <alignment/>
    </xf>
    <xf numFmtId="0" fontId="6" fillId="0" borderId="18" xfId="0" applyFont="1" applyBorder="1" applyAlignment="1">
      <alignment/>
    </xf>
    <xf numFmtId="43" fontId="7" fillId="0" borderId="17" xfId="33" applyFont="1" applyBorder="1" applyAlignment="1">
      <alignment/>
    </xf>
    <xf numFmtId="43" fontId="5" fillId="0" borderId="12" xfId="33" applyFont="1" applyBorder="1" applyAlignment="1">
      <alignment/>
    </xf>
    <xf numFmtId="43" fontId="5" fillId="0" borderId="14" xfId="33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7" xfId="33" applyFont="1" applyBorder="1" applyAlignment="1">
      <alignment horizontal="center"/>
    </xf>
    <xf numFmtId="43" fontId="5" fillId="0" borderId="11" xfId="33" applyFont="1" applyBorder="1" applyAlignment="1">
      <alignment/>
    </xf>
    <xf numFmtId="0" fontId="7" fillId="0" borderId="11" xfId="0" applyFont="1" applyBorder="1" applyAlignment="1">
      <alignment horizontal="left"/>
    </xf>
    <xf numFmtId="196" fontId="7" fillId="0" borderId="11" xfId="33" applyNumberFormat="1" applyFont="1" applyBorder="1" applyAlignment="1">
      <alignment/>
    </xf>
    <xf numFmtId="0" fontId="6" fillId="0" borderId="19" xfId="0" applyFont="1" applyBorder="1" applyAlignment="1">
      <alignment/>
    </xf>
    <xf numFmtId="43" fontId="5" fillId="0" borderId="12" xfId="33" applyFont="1" applyBorder="1" applyAlignment="1">
      <alignment horizontal="center"/>
    </xf>
    <xf numFmtId="0" fontId="7" fillId="0" borderId="0" xfId="0" applyFont="1" applyAlignment="1">
      <alignment wrapText="1"/>
    </xf>
    <xf numFmtId="43" fontId="8" fillId="0" borderId="11" xfId="33" applyFont="1" applyBorder="1" applyAlignment="1">
      <alignment horizontal="center"/>
    </xf>
    <xf numFmtId="43" fontId="6" fillId="0" borderId="17" xfId="33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8" xfId="0" applyFont="1" applyBorder="1" applyAlignment="1">
      <alignment/>
    </xf>
    <xf numFmtId="43" fontId="5" fillId="0" borderId="17" xfId="33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43" fontId="6" fillId="0" borderId="15" xfId="33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 quotePrefix="1">
      <alignment horizontal="left"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8" fillId="0" borderId="20" xfId="0" applyFont="1" applyBorder="1" applyAlignment="1" quotePrefix="1">
      <alignment/>
    </xf>
    <xf numFmtId="0" fontId="8" fillId="0" borderId="12" xfId="0" applyFont="1" applyBorder="1" applyAlignment="1">
      <alignment horizontal="left"/>
    </xf>
    <xf numFmtId="43" fontId="8" fillId="0" borderId="12" xfId="33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 quotePrefix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9" xfId="0" applyFont="1" applyBorder="1" applyAlignment="1" quotePrefix="1">
      <alignment/>
    </xf>
    <xf numFmtId="0" fontId="7" fillId="0" borderId="2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 quotePrefix="1">
      <alignment/>
    </xf>
    <xf numFmtId="0" fontId="8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 quotePrefix="1">
      <alignment/>
    </xf>
    <xf numFmtId="0" fontId="4" fillId="0" borderId="18" xfId="0" applyFont="1" applyBorder="1" applyAlignment="1" quotePrefix="1">
      <alignment/>
    </xf>
    <xf numFmtId="0" fontId="8" fillId="0" borderId="17" xfId="0" applyFont="1" applyBorder="1" applyAlignment="1">
      <alignment/>
    </xf>
    <xf numFmtId="0" fontId="4" fillId="0" borderId="21" xfId="0" applyFont="1" applyBorder="1" applyAlignment="1" quotePrefix="1">
      <alignment/>
    </xf>
    <xf numFmtId="0" fontId="4" fillId="0" borderId="20" xfId="0" applyFont="1" applyBorder="1" applyAlignment="1" quotePrefix="1">
      <alignment/>
    </xf>
    <xf numFmtId="0" fontId="8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9" xfId="0" applyFont="1" applyBorder="1" applyAlignment="1" quotePrefix="1">
      <alignment/>
    </xf>
    <xf numFmtId="0" fontId="8" fillId="0" borderId="21" xfId="0" applyFont="1" applyBorder="1" applyAlignment="1">
      <alignment/>
    </xf>
    <xf numFmtId="43" fontId="5" fillId="0" borderId="21" xfId="33" applyFont="1" applyBorder="1" applyAlignment="1">
      <alignment/>
    </xf>
    <xf numFmtId="0" fontId="10" fillId="0" borderId="12" xfId="0" applyFont="1" applyBorder="1" applyAlignment="1">
      <alignment/>
    </xf>
    <xf numFmtId="43" fontId="6" fillId="0" borderId="0" xfId="0" applyNumberFormat="1" applyFont="1" applyAlignment="1">
      <alignment/>
    </xf>
    <xf numFmtId="196" fontId="6" fillId="0" borderId="0" xfId="33" applyNumberFormat="1" applyFont="1" applyAlignment="1">
      <alignment/>
    </xf>
    <xf numFmtId="17" fontId="6" fillId="0" borderId="11" xfId="0" applyNumberFormat="1" applyFont="1" applyBorder="1" applyAlignment="1" quotePrefix="1">
      <alignment horizontal="center"/>
    </xf>
    <xf numFmtId="43" fontId="7" fillId="0" borderId="1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13" fillId="0" borderId="17" xfId="0" applyFont="1" applyBorder="1" applyAlignment="1">
      <alignment/>
    </xf>
    <xf numFmtId="196" fontId="6" fillId="0" borderId="11" xfId="0" applyNumberFormat="1" applyFont="1" applyBorder="1" applyAlignment="1">
      <alignment/>
    </xf>
    <xf numFmtId="43" fontId="55" fillId="0" borderId="11" xfId="33" applyFont="1" applyBorder="1" applyAlignment="1">
      <alignment/>
    </xf>
    <xf numFmtId="0" fontId="56" fillId="0" borderId="0" xfId="0" applyFont="1" applyAlignment="1">
      <alignment/>
    </xf>
    <xf numFmtId="43" fontId="7" fillId="0" borderId="0" xfId="33" applyFont="1" applyBorder="1" applyAlignment="1">
      <alignment/>
    </xf>
    <xf numFmtId="0" fontId="10" fillId="0" borderId="11" xfId="0" applyFont="1" applyBorder="1" applyAlignment="1">
      <alignment horizontal="left"/>
    </xf>
    <xf numFmtId="43" fontId="56" fillId="0" borderId="0" xfId="33" applyFont="1" applyBorder="1" applyAlignment="1">
      <alignment/>
    </xf>
    <xf numFmtId="0" fontId="4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0" fontId="7" fillId="0" borderId="11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 quotePrefix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 quotePrefix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7109375" style="6" customWidth="1"/>
    <col min="2" max="2" width="69.421875" style="3" bestFit="1" customWidth="1"/>
    <col min="3" max="3" width="15.7109375" style="21" bestFit="1" customWidth="1"/>
    <col min="4" max="5" width="9.140625" style="3" customWidth="1"/>
    <col min="6" max="6" width="11.00390625" style="3" bestFit="1" customWidth="1"/>
    <col min="7" max="16384" width="9.140625" style="3" customWidth="1"/>
  </cols>
  <sheetData>
    <row r="1" spans="1:4" ht="23.25">
      <c r="A1" s="142" t="s">
        <v>211</v>
      </c>
      <c r="B1" s="142"/>
      <c r="C1" s="142"/>
      <c r="D1" s="2"/>
    </row>
    <row r="2" spans="1:3" ht="23.25">
      <c r="A2" s="142" t="s">
        <v>0</v>
      </c>
      <c r="B2" s="142"/>
      <c r="C2" s="142"/>
    </row>
    <row r="3" spans="1:3" ht="23.25">
      <c r="A3" s="4"/>
      <c r="B3" s="4"/>
      <c r="C3" s="4"/>
    </row>
    <row r="4" spans="1:3" s="6" customFormat="1" ht="21">
      <c r="A4" s="145" t="s">
        <v>1</v>
      </c>
      <c r="B4" s="146"/>
      <c r="C4" s="5" t="s">
        <v>2</v>
      </c>
    </row>
    <row r="5" spans="1:3" ht="23.25" customHeight="1">
      <c r="A5" s="88" t="s">
        <v>43</v>
      </c>
      <c r="B5" s="86" t="s">
        <v>174</v>
      </c>
      <c r="C5" s="7"/>
    </row>
    <row r="6" spans="1:3" ht="23.25" customHeight="1">
      <c r="A6" s="8"/>
      <c r="B6" s="87" t="s">
        <v>42</v>
      </c>
      <c r="C6" s="9"/>
    </row>
    <row r="7" spans="1:3" ht="21">
      <c r="A7" s="10" t="s">
        <v>44</v>
      </c>
      <c r="B7" s="11" t="s">
        <v>212</v>
      </c>
      <c r="C7" s="12">
        <v>663000</v>
      </c>
    </row>
    <row r="8" spans="1:3" ht="21">
      <c r="A8" s="10" t="s">
        <v>45</v>
      </c>
      <c r="B8" s="13" t="s">
        <v>213</v>
      </c>
      <c r="C8" s="12">
        <v>837000</v>
      </c>
    </row>
    <row r="9" spans="1:3" ht="21">
      <c r="A9" s="10" t="s">
        <v>46</v>
      </c>
      <c r="B9" s="13" t="s">
        <v>214</v>
      </c>
      <c r="C9" s="12">
        <v>113000</v>
      </c>
    </row>
    <row r="10" spans="1:3" ht="21">
      <c r="A10" s="10" t="s">
        <v>47</v>
      </c>
      <c r="B10" s="13" t="s">
        <v>215</v>
      </c>
      <c r="C10" s="12">
        <v>1526000</v>
      </c>
    </row>
    <row r="11" spans="1:3" ht="21">
      <c r="A11" s="10" t="s">
        <v>48</v>
      </c>
      <c r="B11" s="13" t="s">
        <v>216</v>
      </c>
      <c r="C11" s="12">
        <v>2077000</v>
      </c>
    </row>
    <row r="12" spans="1:3" ht="21">
      <c r="A12" s="10" t="s">
        <v>49</v>
      </c>
      <c r="B12" s="13" t="s">
        <v>217</v>
      </c>
      <c r="C12" s="12">
        <v>811000</v>
      </c>
    </row>
    <row r="13" spans="1:3" ht="21">
      <c r="A13" s="10" t="s">
        <v>50</v>
      </c>
      <c r="B13" s="13" t="s">
        <v>218</v>
      </c>
      <c r="C13" s="12">
        <v>292000</v>
      </c>
    </row>
    <row r="14" spans="1:3" ht="21">
      <c r="A14" s="10" t="s">
        <v>51</v>
      </c>
      <c r="B14" s="13" t="s">
        <v>219</v>
      </c>
      <c r="C14" s="12">
        <v>371000</v>
      </c>
    </row>
    <row r="15" spans="1:3" ht="21">
      <c r="A15" s="10" t="s">
        <v>52</v>
      </c>
      <c r="B15" s="13" t="s">
        <v>220</v>
      </c>
      <c r="C15" s="12">
        <v>3787060.85</v>
      </c>
    </row>
    <row r="16" spans="1:3" ht="21">
      <c r="A16" s="10" t="s">
        <v>53</v>
      </c>
      <c r="B16" s="13" t="s">
        <v>282</v>
      </c>
      <c r="C16" s="12">
        <v>133000</v>
      </c>
    </row>
    <row r="17" spans="1:3" ht="21">
      <c r="A17" s="10" t="s">
        <v>54</v>
      </c>
      <c r="B17" s="13" t="s">
        <v>286</v>
      </c>
      <c r="C17" s="12">
        <v>195000</v>
      </c>
    </row>
    <row r="18" spans="1:3" ht="21">
      <c r="A18" s="10" t="s">
        <v>55</v>
      </c>
      <c r="B18" s="13" t="s">
        <v>221</v>
      </c>
      <c r="C18" s="12">
        <v>420000</v>
      </c>
    </row>
    <row r="19" spans="1:3" ht="21">
      <c r="A19" s="10" t="s">
        <v>56</v>
      </c>
      <c r="B19" s="13" t="s">
        <v>222</v>
      </c>
      <c r="C19" s="12">
        <v>279000</v>
      </c>
    </row>
    <row r="20" spans="1:3" ht="21">
      <c r="A20" s="10" t="s">
        <v>57</v>
      </c>
      <c r="B20" s="13" t="s">
        <v>223</v>
      </c>
      <c r="C20" s="12">
        <v>272000</v>
      </c>
    </row>
    <row r="21" spans="1:3" ht="21">
      <c r="A21" s="10" t="s">
        <v>58</v>
      </c>
      <c r="B21" s="13" t="s">
        <v>285</v>
      </c>
      <c r="C21" s="12">
        <v>372000</v>
      </c>
    </row>
    <row r="22" spans="1:3" ht="21">
      <c r="A22" s="10" t="s">
        <v>59</v>
      </c>
      <c r="B22" s="13" t="s">
        <v>252</v>
      </c>
      <c r="C22" s="12">
        <v>159500</v>
      </c>
    </row>
    <row r="23" spans="1:3" ht="21">
      <c r="A23" s="10" t="s">
        <v>245</v>
      </c>
      <c r="B23" s="13" t="s">
        <v>253</v>
      </c>
      <c r="C23" s="12">
        <v>359000</v>
      </c>
    </row>
    <row r="24" spans="1:3" ht="21">
      <c r="A24" s="10" t="s">
        <v>246</v>
      </c>
      <c r="B24" s="13" t="s">
        <v>254</v>
      </c>
      <c r="C24" s="12">
        <v>449000</v>
      </c>
    </row>
    <row r="25" spans="1:3" ht="21">
      <c r="A25" s="10" t="s">
        <v>247</v>
      </c>
      <c r="B25" s="13" t="s">
        <v>255</v>
      </c>
      <c r="C25" s="12">
        <v>84570</v>
      </c>
    </row>
    <row r="26" spans="1:3" ht="21">
      <c r="A26" s="10" t="s">
        <v>248</v>
      </c>
      <c r="B26" s="13" t="s">
        <v>256</v>
      </c>
      <c r="C26" s="12">
        <v>153000</v>
      </c>
    </row>
    <row r="27" spans="1:3" ht="21">
      <c r="A27" s="10" t="s">
        <v>249</v>
      </c>
      <c r="B27" s="13" t="s">
        <v>287</v>
      </c>
      <c r="C27" s="12">
        <v>140000</v>
      </c>
    </row>
    <row r="28" spans="1:3" ht="21">
      <c r="A28" s="10" t="s">
        <v>250</v>
      </c>
      <c r="B28" s="13" t="s">
        <v>275</v>
      </c>
      <c r="C28" s="12">
        <v>242000</v>
      </c>
    </row>
    <row r="29" spans="1:3" ht="21">
      <c r="A29" s="10" t="s">
        <v>251</v>
      </c>
      <c r="B29" s="13" t="s">
        <v>276</v>
      </c>
      <c r="C29" s="12">
        <v>1459000</v>
      </c>
    </row>
    <row r="30" spans="1:3" ht="21">
      <c r="A30" s="10" t="s">
        <v>272</v>
      </c>
      <c r="B30" s="13" t="s">
        <v>224</v>
      </c>
      <c r="C30" s="12">
        <v>678477.62</v>
      </c>
    </row>
    <row r="31" spans="1:3" ht="21">
      <c r="A31" s="15"/>
      <c r="B31" s="16" t="s">
        <v>3</v>
      </c>
      <c r="C31" s="17">
        <f>SUM(C7:C30)</f>
        <v>15872608.469999999</v>
      </c>
    </row>
    <row r="32" spans="1:3" s="91" customFormat="1" ht="21">
      <c r="A32" s="89" t="s">
        <v>95</v>
      </c>
      <c r="B32" s="90" t="s">
        <v>120</v>
      </c>
      <c r="C32" s="17"/>
    </row>
    <row r="33" spans="1:3" ht="21">
      <c r="A33" s="15"/>
      <c r="B33" s="90" t="s">
        <v>119</v>
      </c>
      <c r="C33" s="12"/>
    </row>
    <row r="34" spans="1:3" ht="21">
      <c r="A34" s="18" t="s">
        <v>96</v>
      </c>
      <c r="B34" s="11" t="s">
        <v>239</v>
      </c>
      <c r="C34" s="19" t="s">
        <v>12</v>
      </c>
    </row>
    <row r="35" spans="1:3" ht="21">
      <c r="A35" s="18" t="s">
        <v>94</v>
      </c>
      <c r="B35" s="11" t="s">
        <v>228</v>
      </c>
      <c r="C35" s="12">
        <v>18000</v>
      </c>
    </row>
    <row r="36" spans="1:3" ht="21">
      <c r="A36" s="18" t="s">
        <v>152</v>
      </c>
      <c r="B36" s="11" t="s">
        <v>153</v>
      </c>
      <c r="C36" s="19" t="s">
        <v>12</v>
      </c>
    </row>
    <row r="37" spans="1:3" ht="21">
      <c r="A37" s="15"/>
      <c r="B37" s="16" t="s">
        <v>3</v>
      </c>
      <c r="C37" s="17">
        <f>SUM(C34:C34)</f>
        <v>0</v>
      </c>
    </row>
    <row r="38" spans="1:3" s="91" customFormat="1" ht="21">
      <c r="A38" s="89" t="s">
        <v>97</v>
      </c>
      <c r="B38" s="92" t="s">
        <v>121</v>
      </c>
      <c r="C38" s="17"/>
    </row>
    <row r="39" spans="1:3" ht="21">
      <c r="A39" s="18" t="s">
        <v>118</v>
      </c>
      <c r="B39" s="11" t="s">
        <v>122</v>
      </c>
      <c r="C39" s="19" t="s">
        <v>12</v>
      </c>
    </row>
    <row r="40" spans="1:3" ht="21">
      <c r="A40" s="147" t="s">
        <v>3</v>
      </c>
      <c r="B40" s="148"/>
      <c r="C40" s="5">
        <f>SUM(C39)</f>
        <v>0</v>
      </c>
    </row>
    <row r="41" spans="1:3" ht="21.75" thickBot="1">
      <c r="A41" s="143" t="s">
        <v>4</v>
      </c>
      <c r="B41" s="144"/>
      <c r="C41" s="20">
        <f>C31+C37+C40</f>
        <v>15872608.469999999</v>
      </c>
    </row>
    <row r="42" ht="21.75" thickTop="1"/>
  </sheetData>
  <sheetProtection/>
  <mergeCells count="5">
    <mergeCell ref="A1:C1"/>
    <mergeCell ref="A2:C2"/>
    <mergeCell ref="A41:B41"/>
    <mergeCell ref="A4:B4"/>
    <mergeCell ref="A40:B40"/>
  </mergeCells>
  <printOptions horizontalCentered="1"/>
  <pageMargins left="0.6299212598425197" right="0.31496062992125984" top="0.7086614173228347" bottom="0.4330708661417323" header="0.31496062992125984" footer="0.1968503937007874"/>
  <pageSetup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3">
      <selection activeCell="B26" sqref="B26"/>
    </sheetView>
  </sheetViews>
  <sheetFormatPr defaultColWidth="9.140625" defaultRowHeight="12.75"/>
  <cols>
    <col min="1" max="1" width="4.57421875" style="22" customWidth="1"/>
    <col min="2" max="2" width="75.421875" style="22" customWidth="1"/>
    <col min="3" max="3" width="15.00390625" style="42" customWidth="1"/>
    <col min="4" max="16384" width="9.140625" style="22" customWidth="1"/>
  </cols>
  <sheetData>
    <row r="1" spans="1:3" ht="27.75">
      <c r="A1" s="159" t="s">
        <v>193</v>
      </c>
      <c r="B1" s="159"/>
      <c r="C1" s="159"/>
    </row>
    <row r="2" spans="1:3" ht="27.75">
      <c r="A2" s="43"/>
      <c r="B2" s="43"/>
      <c r="C2" s="43"/>
    </row>
    <row r="3" spans="1:3" s="6" customFormat="1" ht="24">
      <c r="A3" s="145" t="s">
        <v>1</v>
      </c>
      <c r="B3" s="146"/>
      <c r="C3" s="5" t="s">
        <v>2</v>
      </c>
    </row>
    <row r="4" spans="1:3" ht="23.25">
      <c r="A4" s="93" t="s">
        <v>60</v>
      </c>
      <c r="B4" s="94" t="s">
        <v>61</v>
      </c>
      <c r="C4" s="95"/>
    </row>
    <row r="5" spans="1:3" ht="23.25">
      <c r="A5" s="25"/>
      <c r="B5" s="96" t="s">
        <v>5</v>
      </c>
      <c r="C5" s="26"/>
    </row>
    <row r="6" spans="1:3" ht="24">
      <c r="A6" s="27" t="s">
        <v>44</v>
      </c>
      <c r="B6" s="28" t="s">
        <v>62</v>
      </c>
      <c r="C6" s="134"/>
    </row>
    <row r="7" spans="1:3" ht="24">
      <c r="A7" s="27"/>
      <c r="B7" s="141" t="s">
        <v>225</v>
      </c>
      <c r="C7" s="12">
        <v>345800</v>
      </c>
    </row>
    <row r="8" spans="1:3" ht="24">
      <c r="A8" s="27"/>
      <c r="B8" s="141" t="s">
        <v>226</v>
      </c>
      <c r="C8" s="12">
        <f>119600+126100</f>
        <v>245700</v>
      </c>
    </row>
    <row r="9" spans="1:3" ht="24">
      <c r="A9" s="27"/>
      <c r="B9" s="141" t="s">
        <v>227</v>
      </c>
      <c r="C9" s="12">
        <f>244800+200000+200000+652600</f>
        <v>1297400</v>
      </c>
    </row>
    <row r="10" spans="1:3" ht="24">
      <c r="A10" s="27" t="s">
        <v>45</v>
      </c>
      <c r="B10" s="28" t="s">
        <v>64</v>
      </c>
      <c r="C10" s="12">
        <f>309530+13260+22100</f>
        <v>344890</v>
      </c>
    </row>
    <row r="11" spans="1:3" ht="23.25">
      <c r="A11" s="27" t="s">
        <v>46</v>
      </c>
      <c r="B11" s="29" t="s">
        <v>91</v>
      </c>
      <c r="C11" s="30">
        <f>5425+143650+18885+4690+3950+1200+4960+100000</f>
        <v>282760</v>
      </c>
    </row>
    <row r="12" spans="1:3" ht="23.25">
      <c r="A12" s="27" t="s">
        <v>47</v>
      </c>
      <c r="B12" s="29" t="s">
        <v>63</v>
      </c>
      <c r="C12" s="30">
        <v>0</v>
      </c>
    </row>
    <row r="13" spans="1:3" ht="23.25">
      <c r="A13" s="27"/>
      <c r="B13" s="141" t="s">
        <v>225</v>
      </c>
      <c r="C13" s="30">
        <v>40000</v>
      </c>
    </row>
    <row r="14" spans="1:3" ht="23.25">
      <c r="A14" s="27"/>
      <c r="B14" s="141" t="s">
        <v>226</v>
      </c>
      <c r="C14" s="30">
        <v>30000</v>
      </c>
    </row>
    <row r="15" spans="1:3" ht="23.25">
      <c r="A15" s="27"/>
      <c r="B15" s="141" t="s">
        <v>227</v>
      </c>
      <c r="C15" s="30">
        <v>70000</v>
      </c>
    </row>
    <row r="16" spans="1:3" ht="19.5">
      <c r="A16" s="27" t="s">
        <v>48</v>
      </c>
      <c r="B16" s="29" t="s">
        <v>65</v>
      </c>
      <c r="C16" s="30">
        <v>0</v>
      </c>
    </row>
    <row r="17" spans="1:3" ht="20.25" thickBot="1">
      <c r="A17" s="151" t="s">
        <v>3</v>
      </c>
      <c r="B17" s="152"/>
      <c r="C17" s="31">
        <f>SUM(C6:C16)</f>
        <v>2656550</v>
      </c>
    </row>
    <row r="18" spans="1:3" ht="20.25" thickTop="1">
      <c r="A18" s="97" t="s">
        <v>95</v>
      </c>
      <c r="B18" s="98" t="s">
        <v>72</v>
      </c>
      <c r="C18" s="26"/>
    </row>
    <row r="19" spans="1:3" ht="19.5">
      <c r="A19" s="27" t="s">
        <v>96</v>
      </c>
      <c r="B19" s="29" t="s">
        <v>283</v>
      </c>
      <c r="C19" s="30">
        <v>20000</v>
      </c>
    </row>
    <row r="20" spans="1:3" ht="20.25" thickBot="1">
      <c r="A20" s="153" t="s">
        <v>3</v>
      </c>
      <c r="B20" s="154"/>
      <c r="C20" s="31">
        <f>SUM(C19:C19)</f>
        <v>20000</v>
      </c>
    </row>
    <row r="21" spans="1:3" ht="20.25" thickTop="1">
      <c r="A21" s="99" t="s">
        <v>97</v>
      </c>
      <c r="B21" s="100" t="s">
        <v>66</v>
      </c>
      <c r="C21" s="33"/>
    </row>
    <row r="22" spans="1:3" ht="19.5">
      <c r="A22" s="28">
        <v>3.1</v>
      </c>
      <c r="B22" s="29" t="s">
        <v>85</v>
      </c>
      <c r="C22" s="30">
        <v>5000</v>
      </c>
    </row>
    <row r="23" spans="1:3" ht="19.5">
      <c r="A23" s="27" t="s">
        <v>98</v>
      </c>
      <c r="B23" s="28" t="s">
        <v>86</v>
      </c>
      <c r="C23" s="30">
        <v>15000</v>
      </c>
    </row>
    <row r="24" spans="1:3" ht="19.5">
      <c r="A24" s="27" t="s">
        <v>99</v>
      </c>
      <c r="B24" s="28" t="s">
        <v>87</v>
      </c>
      <c r="C24" s="30">
        <f>12500*8</f>
        <v>100000</v>
      </c>
    </row>
    <row r="25" spans="1:3" ht="19.5">
      <c r="A25" s="27" t="s">
        <v>100</v>
      </c>
      <c r="B25" s="28" t="s">
        <v>67</v>
      </c>
      <c r="C25" s="30">
        <f>25000+70000</f>
        <v>95000</v>
      </c>
    </row>
    <row r="26" spans="1:3" ht="19.5">
      <c r="A26" s="27" t="s">
        <v>101</v>
      </c>
      <c r="B26" s="28" t="s">
        <v>194</v>
      </c>
      <c r="C26" s="30">
        <f>7000+9340</f>
        <v>16340</v>
      </c>
    </row>
    <row r="27" spans="1:3" ht="19.5">
      <c r="A27" s="27" t="s">
        <v>102</v>
      </c>
      <c r="B27" s="29" t="s">
        <v>195</v>
      </c>
      <c r="C27" s="30">
        <f>7000+98000+8435</f>
        <v>113435</v>
      </c>
    </row>
    <row r="28" spans="1:3" ht="19.5">
      <c r="A28" s="27" t="s">
        <v>103</v>
      </c>
      <c r="B28" s="29" t="s">
        <v>70</v>
      </c>
      <c r="C28" s="30">
        <v>1000</v>
      </c>
    </row>
    <row r="29" spans="1:3" ht="19.5">
      <c r="A29" s="27" t="s">
        <v>104</v>
      </c>
      <c r="B29" s="29" t="s">
        <v>69</v>
      </c>
      <c r="C29" s="30">
        <f>100000+128560</f>
        <v>228560</v>
      </c>
    </row>
    <row r="30" spans="1:3" ht="19.5">
      <c r="A30" s="27" t="s">
        <v>105</v>
      </c>
      <c r="B30" s="29" t="s">
        <v>68</v>
      </c>
      <c r="C30" s="30">
        <v>14448</v>
      </c>
    </row>
    <row r="31" spans="1:3" ht="19.5">
      <c r="A31" s="27" t="s">
        <v>106</v>
      </c>
      <c r="B31" s="29" t="s">
        <v>71</v>
      </c>
      <c r="C31" s="44">
        <v>85000</v>
      </c>
    </row>
    <row r="32" spans="1:3" ht="19.5">
      <c r="A32" s="27" t="s">
        <v>107</v>
      </c>
      <c r="B32" s="34" t="s">
        <v>92</v>
      </c>
      <c r="C32" s="30">
        <v>32000</v>
      </c>
    </row>
    <row r="33" spans="1:3" ht="19.5">
      <c r="A33" s="27" t="s">
        <v>108</v>
      </c>
      <c r="B33" s="34" t="s">
        <v>229</v>
      </c>
      <c r="C33" s="30">
        <v>20000</v>
      </c>
    </row>
    <row r="34" spans="1:3" ht="20.25" thickBot="1">
      <c r="A34" s="153" t="s">
        <v>3</v>
      </c>
      <c r="B34" s="154"/>
      <c r="C34" s="31">
        <f>SUM(C22:C33)</f>
        <v>725783</v>
      </c>
    </row>
    <row r="35" spans="1:3" ht="20.25" thickTop="1">
      <c r="A35" s="97" t="s">
        <v>74</v>
      </c>
      <c r="B35" s="96" t="s">
        <v>198</v>
      </c>
      <c r="C35" s="26"/>
    </row>
    <row r="36" spans="1:3" ht="19.5">
      <c r="A36" s="27" t="s">
        <v>109</v>
      </c>
      <c r="B36" s="29" t="s">
        <v>237</v>
      </c>
      <c r="C36" s="30">
        <v>42800</v>
      </c>
    </row>
    <row r="37" spans="1:3" ht="19.5">
      <c r="A37" s="27" t="s">
        <v>110</v>
      </c>
      <c r="B37" s="29" t="s">
        <v>88</v>
      </c>
      <c r="C37" s="30" t="s">
        <v>12</v>
      </c>
    </row>
    <row r="38" spans="1:3" ht="19.5">
      <c r="A38" s="27" t="s">
        <v>111</v>
      </c>
      <c r="B38" s="29" t="s">
        <v>93</v>
      </c>
      <c r="C38" s="30"/>
    </row>
    <row r="39" spans="1:3" ht="20.25" thickBot="1">
      <c r="A39" s="153" t="s">
        <v>3</v>
      </c>
      <c r="B39" s="154"/>
      <c r="C39" s="31">
        <f>SUM(C36:C38)</f>
        <v>42800</v>
      </c>
    </row>
    <row r="40" spans="1:3" ht="20.25" thickTop="1">
      <c r="A40" s="99" t="s">
        <v>73</v>
      </c>
      <c r="B40" s="100" t="s">
        <v>170</v>
      </c>
      <c r="C40" s="26"/>
    </row>
    <row r="41" spans="1:3" ht="19.5">
      <c r="A41" s="27" t="s">
        <v>123</v>
      </c>
      <c r="B41" s="28" t="s">
        <v>163</v>
      </c>
      <c r="C41" s="30">
        <f>450000-2000</f>
        <v>448000</v>
      </c>
    </row>
    <row r="42" spans="1:3" ht="19.5">
      <c r="A42" s="27" t="s">
        <v>175</v>
      </c>
      <c r="B42" s="28" t="s">
        <v>164</v>
      </c>
      <c r="C42" s="130" t="s">
        <v>12</v>
      </c>
    </row>
    <row r="43" spans="1:3" ht="19.5">
      <c r="A43" s="27" t="s">
        <v>176</v>
      </c>
      <c r="B43" s="28" t="s">
        <v>165</v>
      </c>
      <c r="C43" s="30" t="s">
        <v>12</v>
      </c>
    </row>
    <row r="44" spans="1:3" ht="19.5">
      <c r="A44" s="27" t="s">
        <v>177</v>
      </c>
      <c r="B44" s="28" t="s">
        <v>166</v>
      </c>
      <c r="C44" s="30">
        <v>22000</v>
      </c>
    </row>
    <row r="45" spans="1:3" ht="19.5">
      <c r="A45" s="27" t="s">
        <v>178</v>
      </c>
      <c r="B45" s="28" t="s">
        <v>230</v>
      </c>
      <c r="C45" s="30">
        <v>150000</v>
      </c>
    </row>
    <row r="46" spans="1:3" ht="19.5">
      <c r="A46" s="27" t="s">
        <v>179</v>
      </c>
      <c r="B46" s="28" t="s">
        <v>231</v>
      </c>
      <c r="C46" s="30">
        <f>10200+18622</f>
        <v>28822</v>
      </c>
    </row>
    <row r="47" spans="1:3" ht="19.5">
      <c r="A47" s="27" t="s">
        <v>273</v>
      </c>
      <c r="B47" s="28" t="s">
        <v>168</v>
      </c>
      <c r="C47" s="130">
        <v>6784500</v>
      </c>
    </row>
    <row r="48" spans="1:3" ht="19.5">
      <c r="A48" s="27" t="s">
        <v>274</v>
      </c>
      <c r="B48" s="28" t="s">
        <v>169</v>
      </c>
      <c r="C48" s="30">
        <v>318500</v>
      </c>
    </row>
    <row r="49" spans="1:3" ht="20.25" thickBot="1">
      <c r="A49" s="153" t="s">
        <v>3</v>
      </c>
      <c r="B49" s="154"/>
      <c r="C49" s="31">
        <f>SUM(C41:C48)</f>
        <v>7751822</v>
      </c>
    </row>
    <row r="50" spans="1:3" s="102" customFormat="1" ht="20.25" thickTop="1">
      <c r="A50" s="99" t="s">
        <v>76</v>
      </c>
      <c r="B50" s="101" t="s">
        <v>167</v>
      </c>
      <c r="C50" s="40"/>
    </row>
    <row r="51" spans="1:3" ht="19.5">
      <c r="A51" s="27" t="s">
        <v>112</v>
      </c>
      <c r="B51" s="34" t="s">
        <v>75</v>
      </c>
      <c r="C51" s="37" t="s">
        <v>12</v>
      </c>
    </row>
    <row r="52" spans="1:3" ht="21">
      <c r="A52" s="27" t="s">
        <v>113</v>
      </c>
      <c r="B52" s="34" t="s">
        <v>77</v>
      </c>
      <c r="C52" s="12">
        <f>1580000-255573.51+206383.6+332872.6</f>
        <v>1863682.69</v>
      </c>
    </row>
    <row r="53" spans="1:3" ht="19.5">
      <c r="A53" s="27" t="s">
        <v>114</v>
      </c>
      <c r="B53" s="34" t="s">
        <v>78</v>
      </c>
      <c r="C53" s="37">
        <v>300000</v>
      </c>
    </row>
    <row r="54" spans="1:3" ht="20.25" thickBot="1">
      <c r="A54" s="153" t="s">
        <v>3</v>
      </c>
      <c r="B54" s="154"/>
      <c r="C54" s="31">
        <f>SUM(C51:C53)</f>
        <v>2163682.69</v>
      </c>
    </row>
    <row r="55" spans="1:3" s="102" customFormat="1" ht="20.25" thickTop="1">
      <c r="A55" s="99" t="s">
        <v>79</v>
      </c>
      <c r="B55" s="103" t="s">
        <v>80</v>
      </c>
      <c r="C55" s="40"/>
    </row>
    <row r="56" spans="1:3" ht="19.5">
      <c r="A56" s="28">
        <v>7.1</v>
      </c>
      <c r="B56" s="38" t="s">
        <v>89</v>
      </c>
      <c r="C56" s="30"/>
    </row>
    <row r="57" spans="1:3" ht="19.5">
      <c r="A57" s="155" t="s">
        <v>3</v>
      </c>
      <c r="B57" s="156"/>
      <c r="C57" s="95">
        <f>SUM(C56)</f>
        <v>0</v>
      </c>
    </row>
    <row r="58" spans="1:3" s="102" customFormat="1" ht="19.5">
      <c r="A58" s="105" t="s">
        <v>81</v>
      </c>
      <c r="B58" s="101" t="s">
        <v>83</v>
      </c>
      <c r="C58" s="40"/>
    </row>
    <row r="59" spans="1:3" s="102" customFormat="1" ht="19.5">
      <c r="A59" s="106">
        <v>8.1</v>
      </c>
      <c r="B59" s="104" t="s">
        <v>199</v>
      </c>
      <c r="C59" s="24">
        <f>300000-162560</f>
        <v>137440</v>
      </c>
    </row>
    <row r="60" spans="1:3" ht="19.5">
      <c r="A60" s="25"/>
      <c r="B60" s="66" t="s">
        <v>200</v>
      </c>
      <c r="C60" s="26"/>
    </row>
    <row r="61" spans="1:3" ht="20.25" thickBot="1">
      <c r="A61" s="153" t="s">
        <v>3</v>
      </c>
      <c r="B61" s="154"/>
      <c r="C61" s="31">
        <f>SUM(C59:C60)</f>
        <v>137440</v>
      </c>
    </row>
    <row r="62" spans="1:3" ht="20.25" thickTop="1">
      <c r="A62" s="99" t="s">
        <v>82</v>
      </c>
      <c r="B62" s="101" t="s">
        <v>84</v>
      </c>
      <c r="C62" s="30"/>
    </row>
    <row r="63" spans="1:3" ht="19.5">
      <c r="A63" s="39">
        <v>9.1</v>
      </c>
      <c r="B63" s="23" t="s">
        <v>90</v>
      </c>
      <c r="C63" s="24">
        <v>87938</v>
      </c>
    </row>
    <row r="64" spans="1:3" ht="19.5">
      <c r="A64" s="157" t="s">
        <v>3</v>
      </c>
      <c r="B64" s="158"/>
      <c r="C64" s="40">
        <f>SUM(C63)</f>
        <v>87938</v>
      </c>
    </row>
    <row r="65" spans="1:3" ht="22.5" customHeight="1" thickBot="1">
      <c r="A65" s="149" t="s">
        <v>4</v>
      </c>
      <c r="B65" s="150"/>
      <c r="C65" s="41">
        <f>+C17+C20+C34+C39+C49+C54+C57+C61+C64</f>
        <v>13586015.69</v>
      </c>
    </row>
    <row r="66" ht="20.25" thickTop="1"/>
  </sheetData>
  <sheetProtection/>
  <mergeCells count="12">
    <mergeCell ref="A1:C1"/>
    <mergeCell ref="A3:B3"/>
    <mergeCell ref="A65:B65"/>
    <mergeCell ref="A17:B17"/>
    <mergeCell ref="A20:B20"/>
    <mergeCell ref="A34:B34"/>
    <mergeCell ref="A39:B39"/>
    <mergeCell ref="A49:B49"/>
    <mergeCell ref="A54:B54"/>
    <mergeCell ref="A57:B57"/>
    <mergeCell ref="A64:B64"/>
    <mergeCell ref="A61:B61"/>
  </mergeCells>
  <printOptions/>
  <pageMargins left="0.6692913385826772" right="0.2362204724409449" top="0.5511811023622047" bottom="0.4724409448818898" header="0.2755905511811024" footer="0.11811023622047245"/>
  <pageSetup firstPageNumber="3" useFirstPageNumber="1" horizontalDpi="600" verticalDpi="600" orientation="portrait" paperSize="9" r:id="rId3"/>
  <headerFooter alignWithMargins="0">
    <oddHeader>&amp;C&amp;"TH SarabunPSK,ธรรมดา"&amp;16&amp;P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00390625" style="3" bestFit="1" customWidth="1"/>
    <col min="2" max="2" width="68.00390625" style="3" customWidth="1"/>
    <col min="3" max="3" width="14.7109375" style="48" customWidth="1"/>
    <col min="4" max="16384" width="9.140625" style="3" customWidth="1"/>
  </cols>
  <sheetData>
    <row r="1" spans="1:3" s="49" customFormat="1" ht="23.25">
      <c r="A1" s="142" t="s">
        <v>196</v>
      </c>
      <c r="B1" s="142"/>
      <c r="C1" s="142"/>
    </row>
    <row r="2" spans="1:3" s="49" customFormat="1" ht="23.25">
      <c r="A2" s="4"/>
      <c r="B2" s="4"/>
      <c r="C2" s="4"/>
    </row>
    <row r="3" spans="1:3" s="6" customFormat="1" ht="21">
      <c r="A3" s="145" t="s">
        <v>1</v>
      </c>
      <c r="B3" s="146"/>
      <c r="C3" s="5" t="s">
        <v>2</v>
      </c>
    </row>
    <row r="4" spans="1:3" s="107" customFormat="1" ht="21">
      <c r="A4" s="89" t="s">
        <v>43</v>
      </c>
      <c r="B4" s="90" t="s">
        <v>6</v>
      </c>
      <c r="C4" s="5"/>
    </row>
    <row r="5" spans="1:3" ht="23.25" customHeight="1">
      <c r="A5" s="15">
        <v>1.1</v>
      </c>
      <c r="B5" s="28" t="s">
        <v>116</v>
      </c>
      <c r="C5" s="44"/>
    </row>
    <row r="6" spans="1:3" ht="21">
      <c r="A6" s="15"/>
      <c r="B6" s="137" t="s">
        <v>208</v>
      </c>
      <c r="C6" s="12">
        <v>50000</v>
      </c>
    </row>
    <row r="7" spans="1:3" ht="21">
      <c r="A7" s="15"/>
      <c r="B7" s="13" t="s">
        <v>209</v>
      </c>
      <c r="C7" s="12">
        <v>50000</v>
      </c>
    </row>
    <row r="8" spans="1:3" ht="21">
      <c r="A8" s="15">
        <v>2</v>
      </c>
      <c r="B8" s="13" t="s">
        <v>115</v>
      </c>
      <c r="C8" s="12"/>
    </row>
    <row r="9" spans="1:3" ht="20.25" thickBot="1">
      <c r="A9" s="153" t="s">
        <v>3</v>
      </c>
      <c r="B9" s="163"/>
      <c r="C9" s="45">
        <f>SUM(C6:C8)</f>
        <v>100000</v>
      </c>
    </row>
    <row r="10" spans="1:3" s="22" customFormat="1" ht="20.25" thickTop="1">
      <c r="A10" s="99" t="s">
        <v>95</v>
      </c>
      <c r="B10" s="101" t="s">
        <v>40</v>
      </c>
      <c r="C10" s="44"/>
    </row>
    <row r="11" spans="1:3" s="22" customFormat="1" ht="19.5">
      <c r="A11" s="28">
        <v>2.1</v>
      </c>
      <c r="B11" s="28" t="s">
        <v>117</v>
      </c>
      <c r="C11" s="46" t="s">
        <v>12</v>
      </c>
    </row>
    <row r="12" spans="1:3" s="22" customFormat="1" ht="19.5">
      <c r="A12" s="157" t="s">
        <v>3</v>
      </c>
      <c r="B12" s="162"/>
      <c r="C12" s="47">
        <f>SUM(C11:C11)</f>
        <v>0</v>
      </c>
    </row>
    <row r="13" spans="1:3" ht="20.25" thickBot="1">
      <c r="A13" s="160" t="s">
        <v>4</v>
      </c>
      <c r="B13" s="161"/>
      <c r="C13" s="41">
        <f>+C9+C12</f>
        <v>100000</v>
      </c>
    </row>
    <row r="14" ht="14.25" thickTop="1"/>
  </sheetData>
  <sheetProtection/>
  <mergeCells count="5">
    <mergeCell ref="A13:B13"/>
    <mergeCell ref="A1:C1"/>
    <mergeCell ref="A3:B3"/>
    <mergeCell ref="A12:B12"/>
    <mergeCell ref="A9:B9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62">
      <selection activeCell="A48" sqref="A48:C49"/>
    </sheetView>
  </sheetViews>
  <sheetFormatPr defaultColWidth="9.140625" defaultRowHeight="12.75"/>
  <cols>
    <col min="1" max="1" width="5.00390625" style="6" bestFit="1" customWidth="1"/>
    <col min="2" max="2" width="74.140625" style="3" bestFit="1" customWidth="1"/>
    <col min="3" max="3" width="15.28125" style="48" bestFit="1" customWidth="1"/>
    <col min="4" max="5" width="12.421875" style="22" hidden="1" customWidth="1"/>
    <col min="6" max="6" width="11.00390625" style="22" hidden="1" customWidth="1"/>
    <col min="7" max="7" width="0" style="3" hidden="1" customWidth="1"/>
    <col min="8" max="8" width="9.421875" style="3" hidden="1" customWidth="1"/>
    <col min="9" max="11" width="0" style="3" hidden="1" customWidth="1"/>
    <col min="12" max="12" width="12.421875" style="3" hidden="1" customWidth="1"/>
    <col min="13" max="13" width="0" style="3" hidden="1" customWidth="1"/>
    <col min="14" max="15" width="12.421875" style="22" bestFit="1" customWidth="1"/>
    <col min="16" max="19" width="9.140625" style="22" customWidth="1"/>
    <col min="20" max="16384" width="9.140625" style="3" customWidth="1"/>
  </cols>
  <sheetData>
    <row r="1" spans="1:3" ht="23.25">
      <c r="A1" s="159" t="s">
        <v>20</v>
      </c>
      <c r="B1" s="159"/>
      <c r="C1" s="159"/>
    </row>
    <row r="2" spans="1:3" ht="21" customHeight="1">
      <c r="A2" s="43"/>
      <c r="B2" s="43"/>
      <c r="C2" s="43"/>
    </row>
    <row r="3" spans="1:19" s="6" customFormat="1" ht="21">
      <c r="A3" s="165" t="s">
        <v>1</v>
      </c>
      <c r="B3" s="165"/>
      <c r="C3" s="5" t="s">
        <v>2</v>
      </c>
      <c r="D3" s="22"/>
      <c r="E3" s="22"/>
      <c r="F3" s="22"/>
      <c r="N3" s="22"/>
      <c r="O3" s="22"/>
      <c r="P3" s="22"/>
      <c r="Q3" s="22"/>
      <c r="R3" s="22"/>
      <c r="S3" s="22"/>
    </row>
    <row r="4" spans="1:19" s="6" customFormat="1" ht="21">
      <c r="A4" s="108" t="s">
        <v>43</v>
      </c>
      <c r="B4" s="109" t="s">
        <v>129</v>
      </c>
      <c r="C4" s="51"/>
      <c r="D4" s="22"/>
      <c r="E4" s="22"/>
      <c r="F4" s="22"/>
      <c r="N4" s="22"/>
      <c r="O4" s="22"/>
      <c r="P4" s="22"/>
      <c r="Q4" s="22"/>
      <c r="R4" s="22"/>
      <c r="S4" s="22"/>
    </row>
    <row r="5" spans="1:19" s="6" customFormat="1" ht="21">
      <c r="A5" s="110"/>
      <c r="B5" s="96" t="s">
        <v>7</v>
      </c>
      <c r="C5" s="53"/>
      <c r="D5" s="22"/>
      <c r="E5" s="22"/>
      <c r="F5" s="22"/>
      <c r="N5" s="22"/>
      <c r="O5" s="22"/>
      <c r="P5" s="22"/>
      <c r="Q5" s="22"/>
      <c r="R5" s="22"/>
      <c r="S5" s="22"/>
    </row>
    <row r="6" spans="1:3" s="22" customFormat="1" ht="21">
      <c r="A6" s="18" t="s">
        <v>44</v>
      </c>
      <c r="B6" s="28" t="s">
        <v>130</v>
      </c>
      <c r="C6" s="44">
        <f>30000-3280</f>
        <v>26720</v>
      </c>
    </row>
    <row r="7" spans="1:16" s="22" customFormat="1" ht="21">
      <c r="A7" s="54" t="s">
        <v>45</v>
      </c>
      <c r="B7" s="39" t="s">
        <v>131</v>
      </c>
      <c r="C7" s="55">
        <f>SUM(N7:P7)</f>
        <v>575092.8</v>
      </c>
      <c r="N7" s="140">
        <f>220000+95200-13580</f>
        <v>301620</v>
      </c>
      <c r="O7" s="140">
        <f>99500+114580</f>
        <v>214080</v>
      </c>
      <c r="P7" s="140">
        <f>23800+7592.8+28000</f>
        <v>59392.8</v>
      </c>
    </row>
    <row r="8" spans="1:3" s="22" customFormat="1" ht="21.75" thickBot="1">
      <c r="A8" s="143" t="s">
        <v>3</v>
      </c>
      <c r="B8" s="164"/>
      <c r="C8" s="45">
        <f>SUM(C6:C7)</f>
        <v>601812.8</v>
      </c>
    </row>
    <row r="9" spans="1:3" s="22" customFormat="1" ht="21.75" thickTop="1">
      <c r="A9" s="111" t="s">
        <v>95</v>
      </c>
      <c r="B9" s="109" t="s">
        <v>132</v>
      </c>
      <c r="C9" s="33"/>
    </row>
    <row r="10" spans="1:3" s="22" customFormat="1" ht="21">
      <c r="A10" s="18" t="s">
        <v>96</v>
      </c>
      <c r="B10" s="29" t="s">
        <v>133</v>
      </c>
      <c r="C10" s="44">
        <f>356000-101600</f>
        <v>254400</v>
      </c>
    </row>
    <row r="11" spans="1:3" s="22" customFormat="1" ht="21">
      <c r="A11" s="56" t="s">
        <v>94</v>
      </c>
      <c r="B11" s="126" t="s">
        <v>284</v>
      </c>
      <c r="C11" s="55">
        <f>60000-1289</f>
        <v>58711</v>
      </c>
    </row>
    <row r="12" spans="1:3" s="22" customFormat="1" ht="21">
      <c r="A12" s="90">
        <v>2.3</v>
      </c>
      <c r="B12" s="100" t="s">
        <v>190</v>
      </c>
      <c r="C12" s="44"/>
    </row>
    <row r="13" spans="1:15" s="22" customFormat="1" ht="21">
      <c r="A13" s="58"/>
      <c r="B13" s="29" t="s">
        <v>189</v>
      </c>
      <c r="C13" s="44">
        <v>10146072.6</v>
      </c>
      <c r="D13" s="22">
        <f>1700000+65000-1526</f>
        <v>1763474</v>
      </c>
      <c r="E13" s="22">
        <f>1500000-150000-51540</f>
        <v>1298460</v>
      </c>
      <c r="F13" s="22">
        <f>883080-99000-14527</f>
        <v>769553</v>
      </c>
      <c r="G13" s="22">
        <f>150000-30320</f>
        <v>119680</v>
      </c>
      <c r="H13" s="22">
        <f>72000-16737</f>
        <v>55263</v>
      </c>
      <c r="I13" s="22">
        <f>58000+90000-62798</f>
        <v>85202</v>
      </c>
      <c r="J13" s="22">
        <v>42000</v>
      </c>
      <c r="K13" s="22">
        <f>SUM(D13:J13)</f>
        <v>4133632</v>
      </c>
      <c r="N13" s="36"/>
      <c r="O13" s="36"/>
    </row>
    <row r="14" spans="1:12" s="22" customFormat="1" ht="21">
      <c r="A14" s="59"/>
      <c r="B14" s="29" t="s">
        <v>184</v>
      </c>
      <c r="C14" s="44">
        <v>746420</v>
      </c>
      <c r="D14" s="22">
        <f>1600+1200+3360</f>
        <v>6160</v>
      </c>
      <c r="E14" s="22">
        <f>450000-55120</f>
        <v>394880</v>
      </c>
      <c r="F14" s="22">
        <f>+E14+D14</f>
        <v>401040</v>
      </c>
      <c r="L14" s="35" t="e">
        <f>+#REF!+#REF!</f>
        <v>#REF!</v>
      </c>
    </row>
    <row r="15" spans="1:6" s="22" customFormat="1" ht="21">
      <c r="A15" s="59"/>
      <c r="B15" s="29" t="s">
        <v>185</v>
      </c>
      <c r="C15" s="44">
        <v>275137</v>
      </c>
      <c r="D15" s="22">
        <f>90000-800</f>
        <v>89200</v>
      </c>
      <c r="E15" s="22">
        <f>81500-200</f>
        <v>81300</v>
      </c>
      <c r="F15" s="22">
        <f>60000-600</f>
        <v>59400</v>
      </c>
    </row>
    <row r="16" spans="1:7" s="22" customFormat="1" ht="21">
      <c r="A16" s="59"/>
      <c r="B16" s="29" t="s">
        <v>186</v>
      </c>
      <c r="C16" s="44">
        <v>1069030</v>
      </c>
      <c r="D16" s="22">
        <f>100000-42893</f>
        <v>57107</v>
      </c>
      <c r="E16" s="22">
        <f>100000+200000-54431</f>
        <v>245569</v>
      </c>
      <c r="F16" s="22">
        <f>100000-43828</f>
        <v>56172</v>
      </c>
      <c r="G16" s="22">
        <f>SUM(D16:F16)</f>
        <v>358848</v>
      </c>
    </row>
    <row r="17" spans="1:6" s="22" customFormat="1" ht="21">
      <c r="A17" s="59"/>
      <c r="B17" s="29" t="s">
        <v>187</v>
      </c>
      <c r="C17" s="44">
        <v>67219</v>
      </c>
      <c r="D17" s="22">
        <f>18500-11926</f>
        <v>6574</v>
      </c>
      <c r="E17" s="22">
        <f>35000-11580</f>
        <v>23420</v>
      </c>
      <c r="F17" s="22">
        <f>30000-14414</f>
        <v>15586</v>
      </c>
    </row>
    <row r="18" spans="1:3" s="22" customFormat="1" ht="21">
      <c r="A18" s="59"/>
      <c r="B18" s="57" t="s">
        <v>188</v>
      </c>
      <c r="C18" s="55">
        <v>2011278.17</v>
      </c>
    </row>
    <row r="19" spans="1:18" s="22" customFormat="1" ht="21">
      <c r="A19" s="52"/>
      <c r="B19" s="29" t="s">
        <v>191</v>
      </c>
      <c r="C19" s="44">
        <v>469699.94</v>
      </c>
      <c r="D19" s="22">
        <f>350000-93600-27096.93</f>
        <v>229303.07</v>
      </c>
      <c r="E19" s="22">
        <f>60000-7945.65</f>
        <v>52054.35</v>
      </c>
      <c r="F19" s="22">
        <f>48000-27985.04</f>
        <v>20014.96</v>
      </c>
      <c r="G19" s="22">
        <f>140000-26929.28</f>
        <v>113070.72</v>
      </c>
      <c r="H19" s="131">
        <f>SUM(D19:G19)</f>
        <v>414443.1</v>
      </c>
      <c r="N19" s="138"/>
      <c r="R19" s="22">
        <f>40000-25967</f>
        <v>14033</v>
      </c>
    </row>
    <row r="20" spans="1:3" s="22" customFormat="1" ht="21.75" thickBot="1">
      <c r="A20" s="143" t="s">
        <v>3</v>
      </c>
      <c r="B20" s="164"/>
      <c r="C20" s="45">
        <f>SUM(C9:C19)</f>
        <v>15097967.709999999</v>
      </c>
    </row>
    <row r="21" spans="1:3" s="22" customFormat="1" ht="21.75" thickTop="1">
      <c r="A21" s="112" t="s">
        <v>97</v>
      </c>
      <c r="B21" s="113" t="s">
        <v>134</v>
      </c>
      <c r="C21" s="55"/>
    </row>
    <row r="22" spans="1:3" s="22" customFormat="1" ht="21">
      <c r="A22" s="61"/>
      <c r="B22" s="132" t="s">
        <v>8</v>
      </c>
      <c r="C22" s="62"/>
    </row>
    <row r="23" spans="1:4" ht="21">
      <c r="A23" s="18" t="s">
        <v>118</v>
      </c>
      <c r="B23" s="29" t="s">
        <v>135</v>
      </c>
      <c r="C23" s="44">
        <v>39900</v>
      </c>
      <c r="D23" s="22">
        <f>1850+2500</f>
        <v>4350</v>
      </c>
    </row>
    <row r="24" spans="1:3" ht="21.75" thickBot="1">
      <c r="A24" s="143" t="s">
        <v>3</v>
      </c>
      <c r="B24" s="164"/>
      <c r="C24" s="45">
        <f>SUM(C23)</f>
        <v>39900</v>
      </c>
    </row>
    <row r="25" spans="1:3" ht="21.75" thickTop="1">
      <c r="A25" s="112" t="s">
        <v>74</v>
      </c>
      <c r="B25" s="113" t="s">
        <v>136</v>
      </c>
      <c r="C25" s="63" t="s">
        <v>22</v>
      </c>
    </row>
    <row r="26" spans="1:3" ht="21">
      <c r="A26" s="52"/>
      <c r="B26" s="113" t="s">
        <v>9</v>
      </c>
      <c r="C26" s="64"/>
    </row>
    <row r="27" spans="1:3" s="22" customFormat="1" ht="21">
      <c r="A27" s="54" t="s">
        <v>109</v>
      </c>
      <c r="B27" s="28" t="s">
        <v>137</v>
      </c>
      <c r="C27" s="44">
        <f>400000-110240</f>
        <v>289760</v>
      </c>
    </row>
    <row r="28" spans="1:3" s="22" customFormat="1" ht="21.75" thickBot="1">
      <c r="A28" s="143" t="s">
        <v>3</v>
      </c>
      <c r="B28" s="164"/>
      <c r="C28" s="45">
        <f>SUM(C27)</f>
        <v>289760</v>
      </c>
    </row>
    <row r="29" spans="1:3" ht="21.75" thickTop="1">
      <c r="A29" s="114" t="s">
        <v>73</v>
      </c>
      <c r="B29" s="124" t="s">
        <v>138</v>
      </c>
      <c r="C29" s="125"/>
    </row>
    <row r="30" spans="1:3" ht="21">
      <c r="A30" s="54" t="s">
        <v>123</v>
      </c>
      <c r="B30" s="39" t="s">
        <v>139</v>
      </c>
      <c r="C30" s="55"/>
    </row>
    <row r="31" spans="1:5" ht="21">
      <c r="A31" s="61"/>
      <c r="B31" s="50" t="s">
        <v>23</v>
      </c>
      <c r="C31" s="62">
        <v>285779.5</v>
      </c>
      <c r="D31" s="36">
        <f>100000-20525</f>
        <v>79475</v>
      </c>
      <c r="E31" s="36">
        <f>100000-64018</f>
        <v>35982</v>
      </c>
    </row>
    <row r="32" spans="1:18" ht="21">
      <c r="A32" s="61"/>
      <c r="B32" s="50" t="s">
        <v>24</v>
      </c>
      <c r="C32" s="62">
        <v>166529</v>
      </c>
      <c r="D32" s="62">
        <f>50000-140</f>
        <v>49860</v>
      </c>
      <c r="E32" s="36">
        <f>30000-6800</f>
        <v>23200</v>
      </c>
      <c r="F32" s="22">
        <f>100000-5150</f>
        <v>94850</v>
      </c>
      <c r="N32" s="135"/>
      <c r="O32" s="135"/>
      <c r="P32" s="135"/>
      <c r="Q32" s="135"/>
      <c r="R32" s="135"/>
    </row>
    <row r="33" spans="1:3" ht="21">
      <c r="A33" s="61"/>
      <c r="B33" s="50" t="s">
        <v>25</v>
      </c>
      <c r="C33" s="62">
        <f>80000-2410</f>
        <v>77590</v>
      </c>
    </row>
    <row r="34" spans="1:3" ht="21">
      <c r="A34" s="61"/>
      <c r="B34" s="50" t="s">
        <v>26</v>
      </c>
      <c r="C34" s="62">
        <f>38260+50150+48730+45639+71350.95+73690+87398+88387+87324+91194+97263.75+105657+106126+93727.45</f>
        <v>1084897.15</v>
      </c>
    </row>
    <row r="35" spans="1:3" ht="21">
      <c r="A35" s="61"/>
      <c r="B35" s="50" t="s">
        <v>27</v>
      </c>
      <c r="C35" s="62">
        <f>4344.05+6001</f>
        <v>10345.05</v>
      </c>
    </row>
    <row r="36" spans="1:3" ht="21">
      <c r="A36" s="61"/>
      <c r="B36" s="50" t="s">
        <v>28</v>
      </c>
      <c r="C36" s="67" t="s">
        <v>12</v>
      </c>
    </row>
    <row r="37" spans="1:6" ht="21">
      <c r="A37" s="65"/>
      <c r="B37" s="66" t="s">
        <v>244</v>
      </c>
      <c r="C37" s="33">
        <v>312184.24</v>
      </c>
      <c r="D37" s="62">
        <f>500000-98524</f>
        <v>401476</v>
      </c>
      <c r="E37" s="36">
        <f>700000-50000-100000-24744.62</f>
        <v>525255.38</v>
      </c>
      <c r="F37" s="22">
        <v>8560</v>
      </c>
    </row>
    <row r="38" spans="1:5" ht="21">
      <c r="A38" s="61"/>
      <c r="B38" s="50" t="s">
        <v>232</v>
      </c>
      <c r="C38" s="62">
        <f>37750+34950+75370+85172</f>
        <v>233242</v>
      </c>
      <c r="D38" s="136"/>
      <c r="E38" s="36"/>
    </row>
    <row r="39" spans="1:3" ht="21">
      <c r="A39" s="61"/>
      <c r="B39" s="50" t="s">
        <v>29</v>
      </c>
      <c r="C39" s="62">
        <f>90000-41535</f>
        <v>48465</v>
      </c>
    </row>
    <row r="40" spans="1:3" ht="21">
      <c r="A40" s="61"/>
      <c r="B40" s="50" t="s">
        <v>236</v>
      </c>
      <c r="C40" s="62">
        <f>24000-400</f>
        <v>23600</v>
      </c>
    </row>
    <row r="41" spans="1:3" ht="21">
      <c r="A41" s="61"/>
      <c r="B41" s="50" t="s">
        <v>238</v>
      </c>
      <c r="C41" s="62">
        <v>5500</v>
      </c>
    </row>
    <row r="42" spans="1:3" ht="21">
      <c r="A42" s="61"/>
      <c r="B42" s="50" t="s">
        <v>241</v>
      </c>
      <c r="C42" s="62">
        <f>3400+24500</f>
        <v>27900</v>
      </c>
    </row>
    <row r="43" spans="1:3" ht="21">
      <c r="A43" s="61"/>
      <c r="B43" s="50" t="s">
        <v>243</v>
      </c>
      <c r="C43" s="62">
        <v>5100</v>
      </c>
    </row>
    <row r="44" spans="1:3" ht="21">
      <c r="A44" s="61">
        <v>5.2</v>
      </c>
      <c r="B44" s="50" t="s">
        <v>140</v>
      </c>
      <c r="C44" s="62">
        <v>25000</v>
      </c>
    </row>
    <row r="45" spans="1:3" ht="21.75" thickBot="1">
      <c r="A45" s="143" t="s">
        <v>3</v>
      </c>
      <c r="B45" s="164"/>
      <c r="C45" s="45">
        <f>SUM(C30:C44)</f>
        <v>2306131.94</v>
      </c>
    </row>
    <row r="46" spans="1:3" ht="21.75" thickTop="1">
      <c r="A46" s="114" t="s">
        <v>76</v>
      </c>
      <c r="B46" s="101" t="s">
        <v>144</v>
      </c>
      <c r="C46" s="68"/>
    </row>
    <row r="47" spans="1:3" ht="21">
      <c r="A47" s="54" t="s">
        <v>112</v>
      </c>
      <c r="B47" s="28" t="s">
        <v>141</v>
      </c>
      <c r="C47" s="44">
        <f>1200+1600</f>
        <v>2800</v>
      </c>
    </row>
    <row r="48" spans="1:4" ht="21">
      <c r="A48" s="54" t="s">
        <v>113</v>
      </c>
      <c r="B48" s="28" t="s">
        <v>142</v>
      </c>
      <c r="C48" s="44">
        <f>25800+15600+8000+3750+16200</f>
        <v>69350</v>
      </c>
      <c r="D48" s="35"/>
    </row>
    <row r="49" spans="1:4" ht="21">
      <c r="A49" s="54" t="s">
        <v>114</v>
      </c>
      <c r="B49" s="50" t="s">
        <v>235</v>
      </c>
      <c r="C49" s="44">
        <f>5555+91478.5+10000+13405</f>
        <v>120438.5</v>
      </c>
      <c r="D49" s="35"/>
    </row>
    <row r="50" spans="1:4" ht="21">
      <c r="A50" s="54" t="s">
        <v>234</v>
      </c>
      <c r="B50" s="50" t="s">
        <v>155</v>
      </c>
      <c r="C50" s="44"/>
      <c r="D50" s="35"/>
    </row>
    <row r="51" spans="1:4" ht="21.75" thickBot="1">
      <c r="A51" s="143" t="s">
        <v>3</v>
      </c>
      <c r="B51" s="164"/>
      <c r="C51" s="45">
        <f>SUM(C47:C50)</f>
        <v>192588.5</v>
      </c>
      <c r="D51" s="35"/>
    </row>
    <row r="52" spans="1:3" ht="21.75" thickTop="1">
      <c r="A52" s="114" t="s">
        <v>79</v>
      </c>
      <c r="B52" s="109" t="s">
        <v>143</v>
      </c>
      <c r="C52" s="44"/>
    </row>
    <row r="53" spans="1:6" ht="21">
      <c r="A53" s="54">
        <v>7.1</v>
      </c>
      <c r="B53" s="69" t="s">
        <v>145</v>
      </c>
      <c r="C53" s="44">
        <v>887135.4</v>
      </c>
      <c r="D53" s="3">
        <f>60000-9105</f>
        <v>50895</v>
      </c>
      <c r="E53" s="3">
        <f>900000-719159.94</f>
        <v>180840.06000000006</v>
      </c>
      <c r="F53" s="3">
        <f>450000-381200</f>
        <v>68800</v>
      </c>
    </row>
    <row r="54" spans="1:6" ht="21.75" thickBot="1">
      <c r="A54" s="143" t="s">
        <v>3</v>
      </c>
      <c r="B54" s="164"/>
      <c r="C54" s="45">
        <f>SUM(C53:C53)</f>
        <v>887135.4</v>
      </c>
      <c r="D54" s="3"/>
      <c r="E54" s="3"/>
      <c r="F54" s="3"/>
    </row>
    <row r="55" spans="1:3" ht="21.75" thickTop="1">
      <c r="A55" s="114" t="s">
        <v>81</v>
      </c>
      <c r="B55" s="109" t="s">
        <v>146</v>
      </c>
      <c r="C55" s="44"/>
    </row>
    <row r="56" spans="1:3" ht="21">
      <c r="A56" s="18" t="s">
        <v>124</v>
      </c>
      <c r="B56" s="28" t="s">
        <v>205</v>
      </c>
      <c r="C56" s="44">
        <f>1000+5750</f>
        <v>6750</v>
      </c>
    </row>
    <row r="57" spans="1:3" ht="21">
      <c r="A57" s="54" t="s">
        <v>125</v>
      </c>
      <c r="B57" s="28" t="s">
        <v>147</v>
      </c>
      <c r="C57" s="70"/>
    </row>
    <row r="58" spans="1:3" ht="21">
      <c r="A58" s="61"/>
      <c r="B58" s="50" t="s">
        <v>21</v>
      </c>
      <c r="C58" s="55">
        <v>263949</v>
      </c>
    </row>
    <row r="59" spans="1:3" ht="21">
      <c r="A59" s="61"/>
      <c r="B59" s="50" t="s">
        <v>270</v>
      </c>
      <c r="C59" s="55">
        <v>3000</v>
      </c>
    </row>
    <row r="60" spans="1:3" ht="21">
      <c r="A60" s="61"/>
      <c r="B60" s="50" t="s">
        <v>271</v>
      </c>
      <c r="C60" s="55">
        <v>24900</v>
      </c>
    </row>
    <row r="61" spans="1:3" ht="21">
      <c r="A61" s="65">
        <v>8.3</v>
      </c>
      <c r="B61" s="66" t="s">
        <v>192</v>
      </c>
      <c r="C61" s="62" t="s">
        <v>12</v>
      </c>
    </row>
    <row r="62" spans="1:3" ht="21.75" thickBot="1">
      <c r="A62" s="143" t="s">
        <v>3</v>
      </c>
      <c r="B62" s="164"/>
      <c r="C62" s="45">
        <f>SUM(C56:C61)</f>
        <v>298599</v>
      </c>
    </row>
    <row r="63" spans="1:6" ht="21.75" thickTop="1">
      <c r="A63" s="112" t="s">
        <v>82</v>
      </c>
      <c r="B63" s="109" t="s">
        <v>148</v>
      </c>
      <c r="C63" s="55"/>
      <c r="E63" s="22">
        <f>2000+2000+14100+7000+11000+400+24000+24000</f>
        <v>84500</v>
      </c>
      <c r="F63" s="22">
        <f>10868+10728+480+11730+29168+2695+9000+7920</f>
        <v>82589</v>
      </c>
    </row>
    <row r="64" spans="1:6" ht="21">
      <c r="A64" s="110"/>
      <c r="B64" s="109" t="s">
        <v>10</v>
      </c>
      <c r="C64" s="33"/>
      <c r="E64" s="22">
        <f>120400-60500</f>
        <v>59900</v>
      </c>
      <c r="F64" s="22">
        <f>120000+100000-82589</f>
        <v>137411</v>
      </c>
    </row>
    <row r="65" spans="1:6" ht="21">
      <c r="A65" s="18" t="s">
        <v>126</v>
      </c>
      <c r="B65" s="28" t="s">
        <v>149</v>
      </c>
      <c r="C65" s="44">
        <f>140000-26929.28</f>
        <v>113070.72</v>
      </c>
      <c r="E65" s="22">
        <f>60000-17300</f>
        <v>42700</v>
      </c>
      <c r="F65" s="22">
        <f>70000-32180.98</f>
        <v>37819.020000000004</v>
      </c>
    </row>
    <row r="66" spans="1:6" ht="21">
      <c r="A66" s="54" t="s">
        <v>127</v>
      </c>
      <c r="B66" s="28" t="s">
        <v>150</v>
      </c>
      <c r="C66" s="46">
        <v>271200</v>
      </c>
      <c r="E66" s="22">
        <f>6500+7000+2500</f>
        <v>16000</v>
      </c>
      <c r="F66" s="36">
        <f>100000-70160</f>
        <v>29840</v>
      </c>
    </row>
    <row r="67" spans="1:6" ht="21.75" thickBot="1">
      <c r="A67" s="143" t="s">
        <v>3</v>
      </c>
      <c r="B67" s="164"/>
      <c r="C67" s="45">
        <f>SUM(C65:C66)</f>
        <v>384270.72</v>
      </c>
      <c r="F67" s="36"/>
    </row>
    <row r="68" spans="1:3" ht="21.75" thickTop="1">
      <c r="A68" s="114" t="s">
        <v>128</v>
      </c>
      <c r="B68" s="109" t="s">
        <v>151</v>
      </c>
      <c r="C68" s="68"/>
    </row>
    <row r="69" spans="1:5" ht="22.5" customHeight="1">
      <c r="A69" s="60">
        <v>10.1</v>
      </c>
      <c r="B69" s="39" t="s">
        <v>201</v>
      </c>
      <c r="C69" s="72" t="s">
        <v>12</v>
      </c>
      <c r="E69" s="73" t="s">
        <v>30</v>
      </c>
    </row>
    <row r="70" spans="1:3" ht="21.75" customHeight="1">
      <c r="A70" s="145" t="s">
        <v>3</v>
      </c>
      <c r="B70" s="146"/>
      <c r="C70" s="74" t="s">
        <v>12</v>
      </c>
    </row>
    <row r="71" spans="1:3" ht="21.75" customHeight="1" thickBot="1">
      <c r="A71" s="143" t="s">
        <v>4</v>
      </c>
      <c r="B71" s="144"/>
      <c r="C71" s="45">
        <f>+C8+C20+C24+C28+C45+C51+C54+C62+C67</f>
        <v>20098166.069999997</v>
      </c>
    </row>
    <row r="72" ht="21.75" thickTop="1"/>
    <row r="79" ht="21">
      <c r="E79" s="22" t="s">
        <v>22</v>
      </c>
    </row>
  </sheetData>
  <sheetProtection/>
  <mergeCells count="13">
    <mergeCell ref="A45:B45"/>
    <mergeCell ref="A3:B3"/>
    <mergeCell ref="A8:B8"/>
    <mergeCell ref="A20:B20"/>
    <mergeCell ref="A1:C1"/>
    <mergeCell ref="A24:B24"/>
    <mergeCell ref="A28:B28"/>
    <mergeCell ref="A71:B71"/>
    <mergeCell ref="A70:B70"/>
    <mergeCell ref="A54:B54"/>
    <mergeCell ref="A62:B62"/>
    <mergeCell ref="A67:B67"/>
    <mergeCell ref="A51:B51"/>
  </mergeCells>
  <printOptions horizontalCentered="1"/>
  <pageMargins left="0.5511811023622047" right="0.2755905511811024" top="0.6299212598425197" bottom="0.4724409448818898" header="0.2362204724409449" footer="0.2755905511811024"/>
  <pageSetup firstPageNumber="6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6">
      <selection activeCell="A15" sqref="A15:C18"/>
    </sheetView>
  </sheetViews>
  <sheetFormatPr defaultColWidth="9.140625" defaultRowHeight="12.75"/>
  <cols>
    <col min="1" max="1" width="4.421875" style="6" customWidth="1"/>
    <col min="2" max="2" width="68.00390625" style="3" customWidth="1"/>
    <col min="3" max="3" width="15.421875" style="48" customWidth="1"/>
    <col min="4" max="4" width="11.28125" style="3" bestFit="1" customWidth="1"/>
    <col min="5" max="16384" width="9.140625" style="3" customWidth="1"/>
  </cols>
  <sheetData>
    <row r="1" spans="1:3" s="49" customFormat="1" ht="23.25">
      <c r="A1" s="142" t="s">
        <v>16</v>
      </c>
      <c r="B1" s="142"/>
      <c r="C1" s="142"/>
    </row>
    <row r="2" spans="2:3" s="49" customFormat="1" ht="23.25">
      <c r="B2" s="78"/>
      <c r="C2" s="78"/>
    </row>
    <row r="3" spans="1:3" s="6" customFormat="1" ht="21">
      <c r="A3" s="165" t="s">
        <v>1</v>
      </c>
      <c r="B3" s="165"/>
      <c r="C3" s="5" t="s">
        <v>2</v>
      </c>
    </row>
    <row r="4" spans="1:3" s="6" customFormat="1" ht="21">
      <c r="A4" s="115" t="s">
        <v>43</v>
      </c>
      <c r="B4" s="116" t="s">
        <v>156</v>
      </c>
      <c r="C4" s="51"/>
    </row>
    <row r="5" spans="1:3" s="6" customFormat="1" ht="21">
      <c r="A5" s="117"/>
      <c r="B5" s="118" t="s">
        <v>11</v>
      </c>
      <c r="C5" s="53"/>
    </row>
    <row r="6" spans="1:3" s="6" customFormat="1" ht="21">
      <c r="A6" s="18" t="s">
        <v>45</v>
      </c>
      <c r="B6" s="28" t="s">
        <v>157</v>
      </c>
      <c r="C6" s="51">
        <v>19170</v>
      </c>
    </row>
    <row r="7" spans="1:3" s="6" customFormat="1" ht="21.75" thickBot="1">
      <c r="A7" s="153" t="s">
        <v>3</v>
      </c>
      <c r="B7" s="163"/>
      <c r="C7" s="45">
        <f>SUM(C6:C6)</f>
        <v>19170</v>
      </c>
    </row>
    <row r="8" spans="1:3" s="6" customFormat="1" ht="21.75" thickTop="1">
      <c r="A8" s="119" t="s">
        <v>95</v>
      </c>
      <c r="B8" s="113" t="s">
        <v>158</v>
      </c>
      <c r="C8" s="75"/>
    </row>
    <row r="9" spans="1:4" s="6" customFormat="1" ht="21">
      <c r="A9" s="110"/>
      <c r="B9" s="98" t="s">
        <v>13</v>
      </c>
      <c r="C9" s="67"/>
      <c r="D9" s="22"/>
    </row>
    <row r="10" spans="1:4" s="6" customFormat="1" ht="21">
      <c r="A10" s="54">
        <v>2.1</v>
      </c>
      <c r="B10" s="76" t="s">
        <v>159</v>
      </c>
      <c r="C10" s="46" t="s">
        <v>12</v>
      </c>
      <c r="D10" s="22"/>
    </row>
    <row r="11" spans="1:4" s="6" customFormat="1" ht="21">
      <c r="A11" s="54"/>
      <c r="B11" s="76" t="s">
        <v>233</v>
      </c>
      <c r="C11" s="46">
        <v>93000</v>
      </c>
      <c r="D11" s="22"/>
    </row>
    <row r="12" spans="1:4" s="6" customFormat="1" ht="21">
      <c r="A12" s="61"/>
      <c r="B12" s="14" t="s">
        <v>154</v>
      </c>
      <c r="C12" s="19" t="s">
        <v>12</v>
      </c>
      <c r="D12" s="22"/>
    </row>
    <row r="13" spans="1:4" s="6" customFormat="1" ht="21.75" thickBot="1">
      <c r="A13" s="155" t="s">
        <v>3</v>
      </c>
      <c r="B13" s="163"/>
      <c r="C13" s="45">
        <f>SUM(C9:C12)</f>
        <v>93000</v>
      </c>
      <c r="D13" s="22"/>
    </row>
    <row r="14" spans="1:3" ht="21.75" thickTop="1">
      <c r="A14" s="89" t="s">
        <v>97</v>
      </c>
      <c r="B14" s="120" t="s">
        <v>160</v>
      </c>
      <c r="C14" s="46"/>
    </row>
    <row r="15" spans="1:4" ht="21">
      <c r="A15" s="18" t="s">
        <v>118</v>
      </c>
      <c r="B15" s="29" t="s">
        <v>206</v>
      </c>
      <c r="C15" s="46">
        <v>190200</v>
      </c>
      <c r="D15" s="22"/>
    </row>
    <row r="16" spans="1:4" ht="21">
      <c r="A16" s="18" t="s">
        <v>98</v>
      </c>
      <c r="B16" s="29" t="s">
        <v>240</v>
      </c>
      <c r="C16" s="44">
        <v>2297000</v>
      </c>
      <c r="D16" s="22"/>
    </row>
    <row r="17" spans="1:3" ht="21">
      <c r="A17" s="18" t="s">
        <v>99</v>
      </c>
      <c r="B17" s="29" t="s">
        <v>161</v>
      </c>
      <c r="C17" s="44">
        <f>108000+299000+65000+220660+64900+89749.62+129786.07+129786.07+129786.07+129786.07+121134.1</f>
        <v>1487588.0000000002</v>
      </c>
    </row>
    <row r="18" spans="1:4" ht="19.5">
      <c r="A18" s="157" t="s">
        <v>3</v>
      </c>
      <c r="B18" s="162"/>
      <c r="C18" s="47">
        <f>SUM(C15:C17)</f>
        <v>3974788</v>
      </c>
      <c r="D18" s="22"/>
    </row>
    <row r="19" spans="1:3" ht="23.25" customHeight="1">
      <c r="A19" s="157" t="s">
        <v>4</v>
      </c>
      <c r="B19" s="162"/>
      <c r="C19" s="47">
        <f>+C7+C13+C18</f>
        <v>4086958</v>
      </c>
    </row>
    <row r="20" spans="2:3" ht="21">
      <c r="B20" s="22"/>
      <c r="C20" s="36"/>
    </row>
  </sheetData>
  <sheetProtection/>
  <mergeCells count="6">
    <mergeCell ref="A1:C1"/>
    <mergeCell ref="A3:B3"/>
    <mergeCell ref="A19:B19"/>
    <mergeCell ref="A7:B7"/>
    <mergeCell ref="A13:B13"/>
    <mergeCell ref="A18:B18"/>
  </mergeCells>
  <printOptions/>
  <pageMargins left="0.7480314960629921" right="0.7480314960629921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6.00390625" style="3" customWidth="1"/>
    <col min="2" max="2" width="70.421875" style="3" customWidth="1"/>
    <col min="3" max="3" width="15.140625" style="48" customWidth="1"/>
    <col min="4" max="16384" width="9.140625" style="3" customWidth="1"/>
  </cols>
  <sheetData>
    <row r="1" ht="13.5" hidden="1">
      <c r="B1" s="79"/>
    </row>
    <row r="2" ht="13.5" hidden="1">
      <c r="B2" s="79"/>
    </row>
    <row r="3" ht="13.5" hidden="1">
      <c r="B3" s="79"/>
    </row>
    <row r="4" ht="13.5" hidden="1"/>
    <row r="5" ht="13.5" hidden="1"/>
    <row r="6" ht="13.5" hidden="1"/>
    <row r="7" spans="1:3" ht="23.25">
      <c r="A7" s="142" t="s">
        <v>17</v>
      </c>
      <c r="B7" s="142"/>
      <c r="C7" s="142"/>
    </row>
    <row r="8" spans="1:3" ht="23.25">
      <c r="A8" s="1"/>
      <c r="B8" s="1"/>
      <c r="C8" s="1"/>
    </row>
    <row r="9" spans="1:3" s="6" customFormat="1" ht="21">
      <c r="A9" s="145" t="s">
        <v>1</v>
      </c>
      <c r="B9" s="146"/>
      <c r="C9" s="5" t="s">
        <v>2</v>
      </c>
    </row>
    <row r="10" spans="1:3" s="6" customFormat="1" ht="21">
      <c r="A10" s="108" t="s">
        <v>43</v>
      </c>
      <c r="B10" s="109" t="s">
        <v>182</v>
      </c>
      <c r="C10" s="75"/>
    </row>
    <row r="11" spans="1:3" s="6" customFormat="1" ht="21">
      <c r="A11" s="110"/>
      <c r="B11" s="121" t="s">
        <v>14</v>
      </c>
      <c r="C11" s="53"/>
    </row>
    <row r="12" spans="1:3" s="6" customFormat="1" ht="21">
      <c r="A12" s="71">
        <v>1.1</v>
      </c>
      <c r="B12" s="28" t="s">
        <v>162</v>
      </c>
      <c r="C12" s="19"/>
    </row>
    <row r="13" spans="1:3" s="6" customFormat="1" ht="21">
      <c r="A13" s="123" t="s">
        <v>95</v>
      </c>
      <c r="B13" s="122" t="s">
        <v>183</v>
      </c>
      <c r="C13" s="19"/>
    </row>
    <row r="14" spans="1:3" s="6" customFormat="1" ht="22.5" customHeight="1">
      <c r="A14" s="18" t="s">
        <v>96</v>
      </c>
      <c r="B14" s="32" t="s">
        <v>180</v>
      </c>
      <c r="C14" s="53">
        <f>24925+1000</f>
        <v>25925</v>
      </c>
    </row>
    <row r="15" spans="1:3" s="6" customFormat="1" ht="21">
      <c r="A15" s="18" t="s">
        <v>94</v>
      </c>
      <c r="B15" s="77" t="s">
        <v>181</v>
      </c>
      <c r="C15" s="75">
        <v>28350</v>
      </c>
    </row>
    <row r="16" spans="1:3" s="6" customFormat="1" ht="21">
      <c r="A16" s="145" t="s">
        <v>3</v>
      </c>
      <c r="B16" s="146"/>
      <c r="C16" s="47">
        <f>SUM(C14:C15)</f>
        <v>54275</v>
      </c>
    </row>
    <row r="17" spans="1:3" ht="21">
      <c r="A17" s="89" t="s">
        <v>97</v>
      </c>
      <c r="B17" s="122" t="s">
        <v>204</v>
      </c>
      <c r="C17" s="68"/>
    </row>
    <row r="18" spans="1:3" ht="21">
      <c r="A18" s="58">
        <v>3.1</v>
      </c>
      <c r="B18" s="80" t="s">
        <v>15</v>
      </c>
      <c r="C18" s="81"/>
    </row>
    <row r="19" spans="1:3" ht="19.5">
      <c r="A19" s="82"/>
      <c r="B19" s="25" t="s">
        <v>197</v>
      </c>
      <c r="C19" s="64"/>
    </row>
    <row r="20" spans="1:3" ht="21.75" customHeight="1" thickBot="1">
      <c r="A20" s="143" t="s">
        <v>4</v>
      </c>
      <c r="B20" s="144"/>
      <c r="C20" s="45">
        <f>+C16</f>
        <v>54275</v>
      </c>
    </row>
    <row r="21" ht="14.25" thickTop="1"/>
  </sheetData>
  <sheetProtection/>
  <mergeCells count="4">
    <mergeCell ref="A9:B9"/>
    <mergeCell ref="A7:C7"/>
    <mergeCell ref="A20:B20"/>
    <mergeCell ref="A16:B16"/>
  </mergeCells>
  <printOptions/>
  <pageMargins left="0.7480314960629921" right="0.4330708661417323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9">
      <selection activeCell="B42" sqref="B42:B43"/>
    </sheetView>
  </sheetViews>
  <sheetFormatPr defaultColWidth="9.140625" defaultRowHeight="12.75"/>
  <cols>
    <col min="1" max="1" width="11.00390625" style="6" bestFit="1" customWidth="1"/>
    <col min="2" max="2" width="62.57421875" style="6" bestFit="1" customWidth="1"/>
    <col min="3" max="3" width="15.28125" style="21" bestFit="1" customWidth="1"/>
    <col min="4" max="4" width="9.140625" style="6" customWidth="1"/>
    <col min="5" max="5" width="14.140625" style="6" bestFit="1" customWidth="1"/>
    <col min="6" max="16384" width="9.140625" style="6" customWidth="1"/>
  </cols>
  <sheetData>
    <row r="1" spans="1:3" ht="23.25" customHeight="1" hidden="1">
      <c r="A1" s="142" t="s">
        <v>207</v>
      </c>
      <c r="B1" s="142"/>
      <c r="C1" s="142"/>
    </row>
    <row r="2" spans="1:3" ht="23.25" customHeight="1" hidden="1">
      <c r="A2" s="142"/>
      <c r="B2" s="142"/>
      <c r="C2" s="142"/>
    </row>
    <row r="3" spans="1:3" ht="23.25" customHeight="1" hidden="1">
      <c r="A3" s="142"/>
      <c r="B3" s="142"/>
      <c r="C3" s="142"/>
    </row>
    <row r="4" spans="1:3" ht="23.25" customHeight="1" hidden="1">
      <c r="A4" s="142"/>
      <c r="B4" s="142"/>
      <c r="C4" s="142"/>
    </row>
    <row r="5" spans="1:3" ht="23.25" customHeight="1" hidden="1">
      <c r="A5" s="142"/>
      <c r="B5" s="142"/>
      <c r="C5" s="142"/>
    </row>
    <row r="6" spans="1:3" ht="23.25" customHeight="1" hidden="1">
      <c r="A6" s="142"/>
      <c r="B6" s="142"/>
      <c r="C6" s="142"/>
    </row>
    <row r="7" spans="1:3" ht="21">
      <c r="A7" s="142"/>
      <c r="B7" s="142"/>
      <c r="C7" s="142"/>
    </row>
    <row r="8" spans="1:3" ht="21">
      <c r="A8" s="85"/>
      <c r="B8" s="85"/>
      <c r="C8" s="85"/>
    </row>
    <row r="9" spans="1:3" ht="21">
      <c r="A9" s="83" t="s">
        <v>18</v>
      </c>
      <c r="B9" s="83" t="s">
        <v>19</v>
      </c>
      <c r="C9" s="19" t="s">
        <v>2</v>
      </c>
    </row>
    <row r="10" spans="1:3" ht="21">
      <c r="A10" s="83">
        <v>1</v>
      </c>
      <c r="B10" s="15" t="s">
        <v>257</v>
      </c>
      <c r="C10" s="12">
        <v>119600</v>
      </c>
    </row>
    <row r="11" spans="1:3" ht="21">
      <c r="A11" s="83">
        <v>2</v>
      </c>
      <c r="B11" s="15" t="s">
        <v>32</v>
      </c>
      <c r="C11" s="12">
        <v>12000</v>
      </c>
    </row>
    <row r="12" spans="1:3" ht="21">
      <c r="A12" s="83">
        <v>3</v>
      </c>
      <c r="B12" s="15" t="s">
        <v>258</v>
      </c>
      <c r="C12" s="12">
        <v>12000</v>
      </c>
    </row>
    <row r="13" spans="1:3" ht="21">
      <c r="A13" s="83">
        <v>4</v>
      </c>
      <c r="B13" s="15" t="s">
        <v>259</v>
      </c>
      <c r="C13" s="12">
        <v>28000</v>
      </c>
    </row>
    <row r="14" spans="1:3" ht="21">
      <c r="A14" s="83">
        <v>5</v>
      </c>
      <c r="B14" s="15" t="s">
        <v>35</v>
      </c>
      <c r="C14" s="12">
        <v>12000</v>
      </c>
    </row>
    <row r="15" spans="1:3" ht="21">
      <c r="A15" s="83">
        <v>6</v>
      </c>
      <c r="B15" s="15" t="s">
        <v>33</v>
      </c>
      <c r="C15" s="12">
        <v>12000</v>
      </c>
    </row>
    <row r="16" spans="1:3" ht="21">
      <c r="A16" s="83">
        <v>7</v>
      </c>
      <c r="B16" s="15" t="s">
        <v>31</v>
      </c>
      <c r="C16" s="12">
        <v>12000</v>
      </c>
    </row>
    <row r="17" spans="1:3" ht="21">
      <c r="A17" s="83">
        <v>8</v>
      </c>
      <c r="B17" s="15" t="s">
        <v>34</v>
      </c>
      <c r="C17" s="12">
        <v>12001</v>
      </c>
    </row>
    <row r="18" spans="1:3" ht="21">
      <c r="A18" s="83">
        <v>9</v>
      </c>
      <c r="B18" s="15" t="s">
        <v>260</v>
      </c>
      <c r="C18" s="12">
        <v>172900</v>
      </c>
    </row>
    <row r="19" spans="1:3" ht="21">
      <c r="A19" s="83">
        <v>10</v>
      </c>
      <c r="B19" s="15" t="s">
        <v>257</v>
      </c>
      <c r="C19" s="12">
        <v>244800</v>
      </c>
    </row>
    <row r="20" spans="1:3" ht="21">
      <c r="A20" s="83">
        <v>11</v>
      </c>
      <c r="B20" s="15" t="s">
        <v>39</v>
      </c>
      <c r="C20" s="12">
        <v>15000</v>
      </c>
    </row>
    <row r="21" spans="1:3" ht="21">
      <c r="A21" s="83">
        <v>12</v>
      </c>
      <c r="B21" s="15" t="s">
        <v>36</v>
      </c>
      <c r="C21" s="12">
        <v>10000</v>
      </c>
    </row>
    <row r="22" spans="1:3" ht="21">
      <c r="A22" s="83">
        <v>13</v>
      </c>
      <c r="B22" s="15" t="s">
        <v>38</v>
      </c>
      <c r="C22" s="12">
        <v>10000</v>
      </c>
    </row>
    <row r="23" spans="1:3" ht="21">
      <c r="A23" s="83">
        <v>14</v>
      </c>
      <c r="B23" s="15" t="s">
        <v>37</v>
      </c>
      <c r="C23" s="12">
        <v>12000</v>
      </c>
    </row>
    <row r="24" spans="1:3" ht="21">
      <c r="A24" s="83">
        <v>15</v>
      </c>
      <c r="B24" s="15" t="s">
        <v>261</v>
      </c>
      <c r="C24" s="12">
        <v>25000</v>
      </c>
    </row>
    <row r="25" spans="1:3" ht="21">
      <c r="A25" s="83">
        <v>16</v>
      </c>
      <c r="B25" s="15" t="s">
        <v>173</v>
      </c>
      <c r="C25" s="12">
        <v>25000</v>
      </c>
    </row>
    <row r="26" spans="1:3" ht="21">
      <c r="A26" s="83">
        <v>17</v>
      </c>
      <c r="B26" s="15" t="s">
        <v>172</v>
      </c>
      <c r="C26" s="12">
        <v>25000</v>
      </c>
    </row>
    <row r="27" spans="1:3" ht="21">
      <c r="A27" s="83">
        <v>18</v>
      </c>
      <c r="B27" s="15" t="s">
        <v>171</v>
      </c>
      <c r="C27" s="12">
        <v>25000</v>
      </c>
    </row>
    <row r="28" spans="1:3" ht="21">
      <c r="A28" s="83">
        <v>19</v>
      </c>
      <c r="B28" s="15" t="s">
        <v>262</v>
      </c>
      <c r="C28" s="12">
        <v>652600</v>
      </c>
    </row>
    <row r="29" spans="1:3" ht="21">
      <c r="A29" s="83">
        <v>20</v>
      </c>
      <c r="B29" s="15" t="s">
        <v>263</v>
      </c>
      <c r="C29" s="12">
        <v>172000</v>
      </c>
    </row>
    <row r="30" spans="1:3" ht="21">
      <c r="A30" s="83">
        <v>21</v>
      </c>
      <c r="B30" s="15" t="s">
        <v>41</v>
      </c>
      <c r="C30" s="12">
        <v>20000</v>
      </c>
    </row>
    <row r="31" spans="1:3" ht="21">
      <c r="A31" s="83">
        <v>22</v>
      </c>
      <c r="B31" s="15" t="s">
        <v>264</v>
      </c>
      <c r="C31" s="12">
        <v>126100</v>
      </c>
    </row>
    <row r="32" spans="1:3" ht="21">
      <c r="A32" s="83">
        <v>23</v>
      </c>
      <c r="B32" s="15" t="s">
        <v>265</v>
      </c>
      <c r="C32" s="12">
        <v>40000</v>
      </c>
    </row>
    <row r="33" spans="1:5" ht="21">
      <c r="A33" s="83">
        <v>24</v>
      </c>
      <c r="B33" s="15" t="s">
        <v>266</v>
      </c>
      <c r="C33" s="12">
        <v>30000</v>
      </c>
      <c r="E33" s="127"/>
    </row>
    <row r="34" spans="1:5" ht="21">
      <c r="A34" s="83">
        <v>25</v>
      </c>
      <c r="B34" s="15" t="s">
        <v>267</v>
      </c>
      <c r="C34" s="12">
        <v>20000</v>
      </c>
      <c r="E34" s="127"/>
    </row>
    <row r="35" spans="1:5" ht="21">
      <c r="A35" s="83">
        <v>26</v>
      </c>
      <c r="B35" s="15" t="s">
        <v>268</v>
      </c>
      <c r="C35" s="12">
        <v>70000</v>
      </c>
      <c r="E35" s="128"/>
    </row>
    <row r="36" spans="1:3" ht="21">
      <c r="A36" s="83">
        <v>27</v>
      </c>
      <c r="B36" s="15" t="s">
        <v>269</v>
      </c>
      <c r="C36" s="12">
        <v>50000</v>
      </c>
    </row>
    <row r="37" spans="1:3" ht="21.75" thickBot="1">
      <c r="A37" s="166" t="s">
        <v>3</v>
      </c>
      <c r="B37" s="167"/>
      <c r="C37" s="84">
        <f>SUM(C11:C36)</f>
        <v>1845401</v>
      </c>
    </row>
    <row r="38" ht="21.75" thickTop="1"/>
  </sheetData>
  <sheetProtection/>
  <mergeCells count="2">
    <mergeCell ref="A1:C7"/>
    <mergeCell ref="A37:B37"/>
  </mergeCells>
  <printOptions horizontalCentered="1"/>
  <pageMargins left="0.35433070866141736" right="0.2362204724409449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7">
      <selection activeCell="B13" sqref="B13:C13"/>
    </sheetView>
  </sheetViews>
  <sheetFormatPr defaultColWidth="9.140625" defaultRowHeight="12.75"/>
  <cols>
    <col min="1" max="1" width="10.140625" style="6" bestFit="1" customWidth="1"/>
    <col min="2" max="2" width="49.421875" style="6" customWidth="1"/>
    <col min="3" max="3" width="11.28125" style="6" bestFit="1" customWidth="1"/>
    <col min="4" max="4" width="14.140625" style="6" bestFit="1" customWidth="1"/>
    <col min="5" max="16384" width="9.140625" style="6" customWidth="1"/>
  </cols>
  <sheetData>
    <row r="1" spans="1:3" ht="23.25" customHeight="1" hidden="1">
      <c r="A1" s="142" t="s">
        <v>242</v>
      </c>
      <c r="B1" s="142"/>
      <c r="C1" s="142"/>
    </row>
    <row r="2" spans="1:3" ht="23.25" customHeight="1" hidden="1">
      <c r="A2" s="142"/>
      <c r="B2" s="142"/>
      <c r="C2" s="142"/>
    </row>
    <row r="3" spans="1:3" ht="23.25" customHeight="1" hidden="1">
      <c r="A3" s="142"/>
      <c r="B3" s="142"/>
      <c r="C3" s="142"/>
    </row>
    <row r="4" spans="1:3" ht="23.25" customHeight="1" hidden="1">
      <c r="A4" s="142"/>
      <c r="B4" s="142"/>
      <c r="C4" s="142"/>
    </row>
    <row r="5" spans="1:3" ht="23.25" customHeight="1" hidden="1">
      <c r="A5" s="142"/>
      <c r="B5" s="142"/>
      <c r="C5" s="142"/>
    </row>
    <row r="6" spans="1:3" ht="23.25" customHeight="1" hidden="1">
      <c r="A6" s="142"/>
      <c r="B6" s="142"/>
      <c r="C6" s="142"/>
    </row>
    <row r="7" spans="1:3" ht="21" customHeight="1">
      <c r="A7" s="142"/>
      <c r="B7" s="142"/>
      <c r="C7" s="142"/>
    </row>
    <row r="8" spans="1:2" ht="12" customHeight="1">
      <c r="A8" s="85"/>
      <c r="B8" s="85"/>
    </row>
    <row r="9" spans="1:3" ht="21">
      <c r="A9" s="139" t="s">
        <v>18</v>
      </c>
      <c r="B9" s="139" t="s">
        <v>19</v>
      </c>
      <c r="C9" s="139" t="s">
        <v>210</v>
      </c>
    </row>
    <row r="10" spans="1:3" ht="21">
      <c r="A10" s="129" t="s">
        <v>60</v>
      </c>
      <c r="B10" s="15" t="s">
        <v>277</v>
      </c>
      <c r="C10" s="12">
        <f>36890+4680+5860+700</f>
        <v>48130</v>
      </c>
    </row>
    <row r="11" spans="1:3" ht="21">
      <c r="A11" s="129"/>
      <c r="B11" s="15" t="s">
        <v>278</v>
      </c>
      <c r="C11" s="12"/>
    </row>
    <row r="12" spans="1:3" ht="21">
      <c r="A12" s="129" t="s">
        <v>202</v>
      </c>
      <c r="B12" s="15" t="s">
        <v>279</v>
      </c>
      <c r="C12" s="12">
        <f>2880+3390</f>
        <v>6270</v>
      </c>
    </row>
    <row r="13" spans="1:3" ht="21">
      <c r="A13" s="129" t="s">
        <v>203</v>
      </c>
      <c r="B13" s="15" t="s">
        <v>280</v>
      </c>
      <c r="C13" s="12">
        <v>1278.5</v>
      </c>
    </row>
    <row r="14" spans="1:3" ht="21">
      <c r="A14" s="129"/>
      <c r="B14" s="15" t="s">
        <v>281</v>
      </c>
      <c r="C14" s="12"/>
    </row>
    <row r="15" spans="1:3" ht="21">
      <c r="A15" s="145" t="s">
        <v>3</v>
      </c>
      <c r="B15" s="146"/>
      <c r="C15" s="133">
        <f>SUM(C10:C14)</f>
        <v>55678.5</v>
      </c>
    </row>
  </sheetData>
  <sheetProtection/>
  <mergeCells count="2">
    <mergeCell ref="A15:B15"/>
    <mergeCell ref="A1:C7"/>
  </mergeCells>
  <printOptions/>
  <pageMargins left="1.1023622047244095" right="0.7480314960629921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FasterUser</cp:lastModifiedBy>
  <cp:lastPrinted>2013-03-27T03:53:56Z</cp:lastPrinted>
  <dcterms:created xsi:type="dcterms:W3CDTF">2006-09-23T10:11:07Z</dcterms:created>
  <dcterms:modified xsi:type="dcterms:W3CDTF">2013-03-27T04:07:43Z</dcterms:modified>
  <cp:category/>
  <cp:version/>
  <cp:contentType/>
  <cp:contentStatus/>
</cp:coreProperties>
</file>