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415" tabRatio="316" firstSheet="3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เงินอุดหนุน" sheetId="7" r:id="rId7"/>
    <sheet name="ดำเนินการเอง" sheetId="8" r:id="rId8"/>
  </sheets>
  <definedNames>
    <definedName name="_xlnm.Print_Titles" localSheetId="0">'1'!$4:$4</definedName>
    <definedName name="_xlnm.Print_Titles" localSheetId="1">'2'!$3:$3</definedName>
    <definedName name="_xlnm.Print_Titles" localSheetId="3">'4'!$3:$3</definedName>
    <definedName name="_xlnm.Print_Titles" localSheetId="6">'เงินอุดหนุน'!$9:$9</definedName>
  </definedNames>
  <calcPr fullCalcOnLoad="1"/>
</workbook>
</file>

<file path=xl/comments2.xml><?xml version="1.0" encoding="utf-8"?>
<comments xmlns="http://schemas.openxmlformats.org/spreadsheetml/2006/main">
  <authors>
    <author>iLLuSioN</author>
  </authors>
  <commentList>
    <comment ref="B9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<sst xmlns="http://schemas.openxmlformats.org/spreadsheetml/2006/main" count="389" uniqueCount="288">
  <si>
    <t xml:space="preserve">     1)   ยุทธศาสตร์การการพัฒนาโครงสร้างพื้นฐานการจราจรและผังเมืองรวม</t>
  </si>
  <si>
    <t>แนวทาง</t>
  </si>
  <si>
    <t>จำนวนเงิน</t>
  </si>
  <si>
    <t>รวม</t>
  </si>
  <si>
    <t>รวมทั้งสิ้น</t>
  </si>
  <si>
    <t>ความต้องการของประชาชนตาม พรบ.การศึกษาแห่งชาติ</t>
  </si>
  <si>
    <t>แนวทางส่งเสริมประกอบอาชีพ  และฝึกอาชีพ</t>
  </si>
  <si>
    <t>งบประมาณ การติดตามประเมินผลเพื่อให้เกิดความโปร่งใส และประสิทธิภาพในการทำงาน</t>
  </si>
  <si>
    <t>เพื่อลดการทำงานที่ซ้ำซ้อน และเพิ่มความรวดเร็วในการปฏิบัติงานให้มากขึ้น</t>
  </si>
  <si>
    <t>ให้ประชาชนและพนักงานได้รับส่งสารได้อย่างถูกต้องและรวดเร็ว</t>
  </si>
  <si>
    <t>สะดวกรวดเร็วเสมอภาค</t>
  </si>
  <si>
    <t>สภาพภูมิทัศน์ริมคลองให้สะอาดสวยงาม</t>
  </si>
  <si>
    <t>-</t>
  </si>
  <si>
    <t>ให้มีความสะอาดมีความเป็นระเบียบเรียบร้อย</t>
  </si>
  <si>
    <t>สร้างแรงจูงใจในการเสียภาษี  ประชาสัมพันธ์</t>
  </si>
  <si>
    <t xml:space="preserve">    -  โครงการประชาสัมพันธ์โครงการสอบราคาจ้างและแผนการจัดหาพัสดุทาง </t>
  </si>
  <si>
    <t>5.)  ยุทธศาสตร์ด้านสิ่งแวดล้อมและพัฒนาระบบป้องกันและแก้ไขปัญหาน้ำท่วม</t>
  </si>
  <si>
    <t>6. )  ยุทธศาสตร์ด้านการเงินการคลัง</t>
  </si>
  <si>
    <t>ลำดับที่</t>
  </si>
  <si>
    <t>รายการ</t>
  </si>
  <si>
    <t>4.) ยุทธศาสตร์ด้านการบริหารและการจัดการองค์กร</t>
  </si>
  <si>
    <t xml:space="preserve">         สำนักงานปลัด</t>
  </si>
  <si>
    <t xml:space="preserve">         ส่วนการคลัง</t>
  </si>
  <si>
    <t xml:space="preserve">         ส่วนโยธา</t>
  </si>
  <si>
    <t>.</t>
  </si>
  <si>
    <t xml:space="preserve">         วัสดุสำนักงาน</t>
  </si>
  <si>
    <t xml:space="preserve">          วัสดุคอมพิวเตอร์  </t>
  </si>
  <si>
    <t xml:space="preserve">          วัสดุยานพาหนะและขนส่ง</t>
  </si>
  <si>
    <t xml:space="preserve">          วัสดุเชื้อเพลิงและหล่อลื่น </t>
  </si>
  <si>
    <t xml:space="preserve">           แบบพิมพ์</t>
  </si>
  <si>
    <t xml:space="preserve">           วัสดุโฆษณา</t>
  </si>
  <si>
    <t xml:space="preserve">           วัสดุงานบ้านงานครัว</t>
  </si>
  <si>
    <t xml:space="preserve">                    
---------*            
</t>
  </si>
  <si>
    <t xml:space="preserve">           วัสดุอุปกรณ์ไฟฟ้าและก่อสร้าง</t>
  </si>
  <si>
    <t>อุดหนุนคณะกรรมการหมู่บ้าน หมู่ที่  7 (จัดประเพณีลอยกระทง)</t>
  </si>
  <si>
    <t>อุดหนุนคณะกรรมการหมู่บ้าน หมู่ที่  6 (จัดประเพณีลอยกระทง)</t>
  </si>
  <si>
    <t>อุดหนุนคณะกรรมการหมู่บ้าน หมู่ที่  5 (จัดประเพณีลอยกระทง)</t>
  </si>
  <si>
    <t>อุดหนุนคณะกรรมการหมู่บ้าน หมู่ที่  2,3 และ 4 (จัดประเพณีลอยกระทง)</t>
  </si>
  <si>
    <t>อุดหนุนคณะกรรมการหมู่บ้าน หมู่ที่  1 (จัดประเพณีลอยกระทง)</t>
  </si>
  <si>
    <t>อุดหนุนคณะกรรมการหมู่บ้าน หมู่ที่  8 (จัดประเพณีลอยกระทง)</t>
  </si>
  <si>
    <t>อุดหนุนคณะกรรมการหมู่บ้าน หมู่ที่ 6 (จัดกิจกรรมวันเด็ก)</t>
  </si>
  <si>
    <t>อุดหนุนคณะกรรมการหมู่บ้าน หมู่ที่ 5 (จัดกิจกรรมวันเด็ก)</t>
  </si>
  <si>
    <t>อุดหนุนคณะกรรมการหมู่บ้าน หมู่ที่ 7 (จัดกิจกรรมวันเด็ก)</t>
  </si>
  <si>
    <t>อุดหนุนคณะกรรมการหมู่บ้าน หมู่ที่ 4 (จัดกิจกรรมวันเด็ก)</t>
  </si>
  <si>
    <t>อุดหนุนคณะกรรมการหมู่บ้าน หมู่ที่ 3 (จัดกิจกรรมวันเด็ก)</t>
  </si>
  <si>
    <t>อุดหนุนคณะกรรมการหมู่บ้าน หมู่ที่ 2 (จัดกิจกรรมวันเด็ก)</t>
  </si>
  <si>
    <t>อุดหนุนคณะกรรมการหมู่บ้าน หมู่ที่ 8 (จัดกิจกรรมวันเด็ก)</t>
  </si>
  <si>
    <t>แนวทางพัฒนาการบริหารจัดการท่องเที่ยวขององค์การบริหารส่วนตำบล</t>
  </si>
  <si>
    <t>อุดหนุนศูนย์การเรียนรู้ตำบลชะมาย (ศรช.)</t>
  </si>
  <si>
    <t>ให้บริการประชาชนอย่างทั่วถึง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</si>
  <si>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</si>
  <si>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</si>
  <si>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</si>
  <si>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</si>
  <si>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</si>
  <si>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</si>
  <si>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</si>
  <si>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</si>
  <si>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</si>
  <si>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</si>
  <si>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</si>
  <si>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</si>
  <si>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</si>
  <si>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</si>
  <si>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</si>
  <si>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</si>
  <si>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</si>
  <si>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</si>
  <si>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</si>
  <si>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</si>
  <si>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</si>
  <si>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</t>
  </si>
  <si>
    <t xml:space="preserve"> แนวทางพัฒนาการให้บริการทางการศึกษาให้ครอบคลุม  และตอบสนอง</t>
  </si>
  <si>
    <t xml:space="preserve"> โครงการจ้างเหมาทำ อาหารโรงเรียน</t>
  </si>
  <si>
    <t>โครงการสนับสนุนส่งเสริมกิจกรรมวิชาการในโรงเรียน</t>
  </si>
  <si>
    <t>โครงการจ้างเหมาทำอาหารศูนย์พัฒนาเด็กเล็ก</t>
  </si>
  <si>
    <t>โครงการสนับสนุนส่งเสริมกิจกรรมวันสำคัญและนันทนาการในโรงเรียน</t>
  </si>
  <si>
    <t xml:space="preserve">โครงการอุดหนุนมัสยิดบารอกัส  </t>
  </si>
  <si>
    <t xml:space="preserve"> แนวทางอนุรักษ์เผยแพร่  และปลูกฝังศิลปวัฒนธรรม  และภูมิปัญญาท้องถิ่น</t>
  </si>
  <si>
    <t xml:space="preserve"> โครงการจัดงานประเพณีชักพระ</t>
  </si>
  <si>
    <t xml:space="preserve">โครงการจัดงานทำบุญวันขึ้นปีใหม่ </t>
  </si>
  <si>
    <t xml:space="preserve">โครงการจัดพิธีวันผู้สูงอายุและวันกตัญญูในวันสงกรานต์ </t>
  </si>
  <si>
    <t xml:space="preserve">โครงการจัดงานวันปิยะมหาราช </t>
  </si>
  <si>
    <t xml:space="preserve"> อุดหนุนการดำเนินงานของสภาวัฒนธรรมอำเภอทุ่งสง</t>
  </si>
  <si>
    <t>โครงการจัดงานวันเด็ก</t>
  </si>
  <si>
    <t xml:space="preserve"> แนวทางสนับสนุนและพัฒนาการศึกษานอกระบบ</t>
  </si>
  <si>
    <t>5.</t>
  </si>
  <si>
    <t>4.</t>
  </si>
  <si>
    <t>โครงการควบคุมป้องกันโรคไข้เลือดออก  และโรคติดต่ออื่น  ๆ</t>
  </si>
  <si>
    <t>6.</t>
  </si>
  <si>
    <t> โครงการจัดซื้ออาหารเสริม(นม)</t>
  </si>
  <si>
    <t> โครงการพัฒนาศักยภาพอาสาสมัครสาธารณสุขตำบลชะมาย</t>
  </si>
  <si>
    <t>7.</t>
  </si>
  <si>
    <t xml:space="preserve"> แนวทางคุ้มครองผู้บริโภคให้มีความปลอดภัย</t>
  </si>
  <si>
    <t>8.</t>
  </si>
  <si>
    <t>9.</t>
  </si>
  <si>
    <t xml:space="preserve"> แนวทางให้กีฬาเป็นยุทธศาสตร์พัฒนาคนและสังคมฯ</t>
  </si>
  <si>
    <t xml:space="preserve">  แนวทางสนับสนุนอุปกรณ์กีฬาสู่โรงเรียนและชุมชน</t>
  </si>
  <si>
    <t xml:space="preserve">อุดหนุนประเพณีแห่ผ้าขึ้นธาตุ </t>
  </si>
  <si>
    <t>โครงการจัดงานเดือนสิบ</t>
  </si>
  <si>
    <t>โครงการจัดงานประเพณีลอยกระทง</t>
  </si>
  <si>
    <t>โครงการอบต.ชะมายพบประชาชน</t>
  </si>
  <si>
    <t>โครงการสำรวจข้อมูล จปฐ. เขตเมือง</t>
  </si>
  <si>
    <t>โครงการป้องกันและควบคุมโรคพิษสุนัขบ้า</t>
  </si>
  <si>
    <t>โครงการจัดซื้อวัสดุอุปกรณ์กีฬา</t>
  </si>
  <si>
    <t>โครงการปรับปรุงศูนย์พัฒนาเด็กเล็กพร้อมจัดซื้ออุปกรณ์การเรียนการสอน</t>
  </si>
  <si>
    <t>โครงการอุดหนุนศูย์เรียนรู้ชุมชน</t>
  </si>
  <si>
    <t>โครงการปกป้องสถาบันชาติ (โครงการเทิดทูนสถาบัน)</t>
  </si>
  <si>
    <t>โครงการป้องกัยและแก้ไขปัญหายาเสพติด</t>
  </si>
  <si>
    <t>2.2</t>
  </si>
  <si>
    <t>2.</t>
  </si>
  <si>
    <t>2.1</t>
  </si>
  <si>
    <t>3.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</si>
  <si>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</si>
  <si>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</si>
  <si>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</si>
  <si>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</si>
  <si>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</si>
  <si>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</si>
  <si>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</si>
  <si>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</si>
  <si>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</si>
  <si>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</si>
  <si>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</si>
  <si>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</si>
  <si>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</si>
  <si>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4.3</t>
  </si>
  <si>
    <t>6.1</t>
  </si>
  <si>
    <t>6.2</t>
  </si>
  <si>
    <t>6.3</t>
  </si>
  <si>
    <t>โครงการพัฒนากลุ่มยุทธศาสตร์พัฒนา</t>
  </si>
  <si>
    <t>โครงการส่งเสริมและฝึกอาชีพประชาชน</t>
  </si>
  <si>
    <t>โครงการประชาสัมพันธ์เผยแพร่ข้อมูลแหล่งท่องเที่ยว</t>
  </si>
  <si>
    <t>3.1</t>
  </si>
  <si>
    <t>ความเสมอภาคในการใช้พื้นที่ถนนและพัฒนาระบบขนส่งที่ยั่งยืน</t>
  </si>
  <si>
    <t xml:space="preserve">จัดระบบจราจรขนส่งให้มีประสิทธิภาพ  มีความปลอดภัยในการสัญจร  </t>
  </si>
  <si>
    <t xml:space="preserve"> ติดตั้งกระจกโค้ง  3  จุด</t>
  </si>
  <si>
    <t xml:space="preserve">จัดวางและจัดทำผังเมืองรวมเพื่อดำรงรักษาเมืองและบริเวณที่เกี่ยวข้องหรือชนบท  </t>
  </si>
  <si>
    <t xml:space="preserve"> ปรับปรุงผังเมืองรวมเมืองทุ่งสง(เฉพาะค่าใช้จ่ายของอบต.ชะมาย)</t>
  </si>
  <si>
    <t>5.1</t>
  </si>
  <si>
    <t>8.1</t>
  </si>
  <si>
    <t>8.2</t>
  </si>
  <si>
    <t>9.1</t>
  </si>
  <si>
    <t>9.2</t>
  </si>
  <si>
    <t>10.</t>
  </si>
  <si>
    <t>แนวทางพัฒนาประสิทธิภาพในการบริหารโดยให้ประชาชนมีส่วนร่วมในการจัดทำแผนพัฒนา</t>
  </si>
  <si>
    <t>โครงการจัดทำแผนพัฒนาตำบล</t>
  </si>
  <si>
    <t>โครงการจัดการเลือกตั้ง</t>
  </si>
  <si>
    <t>แนวทางพัฒนาระบบบริหารงานบุคคลให้เป็นไปตามระบบคุณธรรม และระบบจูงใจในการทำงาน</t>
  </si>
  <si>
    <t xml:space="preserve">  โครงการสนับสนุนการศึกษาต่อในระดับปริญญาตรีและปริญญาโท</t>
  </si>
  <si>
    <t xml:space="preserve"> แนวทางปรับปรุงประสิทธิภาพในการประสานงานระหว่างหน่วยงานต่าง ๆ  </t>
  </si>
  <si>
    <t>โครงการปรับปรุงเครื่องมือสื่อสาร</t>
  </si>
  <si>
    <t xml:space="preserve">แนวทางปรับปรุงประสิทธิภาพในการให้บริการให้ข้อมูลข่าวสารแก่ประชาชน  </t>
  </si>
  <si>
    <t>จัดทำป้าย โปสเตอร์ประชาสัมพันธ์โครงการต่าง ๆ  ของอบต.</t>
  </si>
  <si>
    <t>เพิ่มประสิทธิภาพวิธีการทำงาน</t>
  </si>
  <si>
    <t>โครงการจัดหาวัสดุ  และครุภัณฑ์ต่าง ๆ</t>
  </si>
  <si>
    <t>โครงการสำรวจความพึงพอใจของผู้รับบริการเพื่อปรับปรุงและพัฒนา</t>
  </si>
  <si>
    <t>ค่าใช้จ่ายเกี่ยวกับสมาชิกอปพร.</t>
  </si>
  <si>
    <t>โครงการลดอุบัติเหตุบนท้องถนน</t>
  </si>
  <si>
    <t>พัฒนาสถานที่  อุปกรณ์  และสิ่งอำนวยความสะดวกในการให้บริการ</t>
  </si>
  <si>
    <t>เพิ่มประสิทธิภาพการป้องกันภัยฝ่ายพลเรือน</t>
  </si>
  <si>
    <t>โครงการบำรุงรักษาและซ่อมแซมทรัพย์สิน</t>
  </si>
  <si>
    <t>พัฒนาบุคลากรให้มีทัศนคติที่ดีและมีใจรักในการให้บริการ</t>
  </si>
  <si>
    <t>โครงการอบรมพนักงานลูกจ้างผู้บริหารและสมาชิกสภาฯ</t>
  </si>
  <si>
    <t>นำระบบเทคโนโลยีสารสนเทศฯ  หรือเทคโนโลยีสมัยใหม่มาใช้บริการให้มีความ</t>
  </si>
  <si>
    <t>โครงการจัดทำระบบเครือข่ายและอินเตอร์แน็ต</t>
  </si>
  <si>
    <t>โครงการจัดหาคอมพิวเตอร์ และอุปกรณ์ อื่น ๆ</t>
  </si>
  <si>
    <t>การให้บริการคำนึงถึงความสะดวกและรวดเร็วโดยไม่ให้ประชาชนเสียเวลาและลดค่าใช้จ่าย</t>
  </si>
  <si>
    <t>2.3</t>
  </si>
  <si>
    <t>ปรับปรุงผิวจราจรถนนในเขตตำบลชะมาย (ดำเนินการเอง)</t>
  </si>
  <si>
    <t xml:space="preserve">     -  ขุดลอกคูคลองระบายน้ำสาธารณะดำเนินการเองโดยใช้รถตักหน้าขุดหลัง</t>
  </si>
  <si>
    <t>จัดซื้อวัสดุ-อุปกรณ์เพื่อใช้ในการป้องกันและบรรเทาสาธารณะ</t>
  </si>
  <si>
    <t>แนวทางปรับปรุงภูมิทัศน์ของคูคลอง  โดยให้ประชาชนร่วมมือและสนับสนุนการพัฒนา</t>
  </si>
  <si>
    <t>โครงการดูแลสิ่งแวดล้อมทางสาธารณะในชุมชน</t>
  </si>
  <si>
    <t>แนวทางเพิ่มประสิทธิภาพในการส่งเสริมและรักษาสภาพแวดล้อมในชุมชน</t>
  </si>
  <si>
    <t>โครงการขุดลอกคูคลอง</t>
  </si>
  <si>
    <t>แนวทางเพิ่มประสิทธิภาพในการจัดการมูลฝอย  สิ่งปฏิกูล  และของเสียอันตราย</t>
  </si>
  <si>
    <t>โครงการจัดการเรื่องที่ทิ้งกลบมูลฝอย</t>
  </si>
  <si>
    <t xml:space="preserve">   -  ปรับปรุงระบบแผนที่ภาษีและทะเบียนทรัพย์สินของอบต.ชะมาย หมู่ที่ 1 – 8 </t>
  </si>
  <si>
    <t>โครงการส่งเสริมและพัฒนาศักยภาพผู้สูงอายุ</t>
  </si>
  <si>
    <t xml:space="preserve">โครงการสงเคราะห์ผู้สูงอายุ  </t>
  </si>
  <si>
    <t>โครงการสงเคราะห์ผู้พิการ</t>
  </si>
  <si>
    <t>โครงการสงเคราะห์ผู้ป่วยโรคเอดส์</t>
  </si>
  <si>
    <t>แนวทางพัฒนาการให้บริการด้านสาธารณะสุข</t>
  </si>
  <si>
    <t>เบี้ยยังชีพผู้สูงอายุตามนโยบายของรัฐบาล</t>
  </si>
  <si>
    <t>เบี้ยยังชีพคนพิการ(โครงการจัดสวัสดิการเบี้ยความพิการ)</t>
  </si>
  <si>
    <t>สนับสนุนพัฒนาศักยภาพคนและครอบครัว</t>
  </si>
  <si>
    <t>อุดหนุนคณะกรรมการหมู่บ้าน หมู่ที่ 1 (จัดกิจกรรมวันเด็ก)</t>
  </si>
  <si>
    <t>อุดหนุนอสม. หมู่ที่  1</t>
  </si>
  <si>
    <t>อุดหนุนอสม. หมู่ที่  2</t>
  </si>
  <si>
    <t>อุดหนุนอสม. หมู่ที่  3</t>
  </si>
  <si>
    <t>อุดหนุนอสม. หมู่ที่  4</t>
  </si>
  <si>
    <t>อุดหนุนอสม. หมู่ที่  5</t>
  </si>
  <si>
    <t>อุดหนุนอสม. หมู่ที่  6</t>
  </si>
  <si>
    <t>อุดหนุนอสม. หมู่ที่  7</t>
  </si>
  <si>
    <t>อุดหนุนอสม. หมู่ที่  8</t>
  </si>
  <si>
    <t>อุดหนุนคณะกรรมการหมู่บ้าน หมู่ที่  5 (จัดงานวันผู้สูงอายุ)</t>
  </si>
  <si>
    <t>อุดหนุนคณะกรรมการหมู่บ้าน หมู่ที่  6 (จัดงานวันผู้สูงอายุ)</t>
  </si>
  <si>
    <t>อุดหนุนคณะกรรมการหมู่บ้าน หมู่ที่  1 (จัดงานวันผู้สูงอายุ)</t>
  </si>
  <si>
    <t>อุดหนุนคณะกรรมการหมู่บ้าน หมู่ที่  8 (จัดงานวันผู้สูงอายุ)</t>
  </si>
  <si>
    <t>อุดหนุนโรงเรียนบ้านวัดวังหีบ (อาหารกลางวัน ภาคเรียนที่ 1/2553)</t>
  </si>
  <si>
    <t>อุดหนุนโรงเรียนบ้านวัดวังหีบ (อาหารกลางวัน ภาคเรียนที่ 2/2553)</t>
  </si>
  <si>
    <t>อุดหนุนโรงเรียนบ้านหนองหว้า (อาหารกลางวัน ภาคเรียนที่  2/2553)</t>
  </si>
  <si>
    <t>อุดหนุนโรงเรียนบ้านวัดเขากลาย (อาหารกลางวัน ภาคเรียนที่ 2/2553)</t>
  </si>
  <si>
    <t>อุดหนุนกลุ่มพัฒนาสตรี หมู่ที่  3 บ้านเขากลาย (โครงการจำหน่ายแก๊สหุงต้ม)</t>
  </si>
  <si>
    <t>จัดสรรงบประมาณพัฒนาระบบสาธารณูปโภคในชุมชน  เพื่ออำนวยความสะดวกและ</t>
  </si>
  <si>
    <t>5.2</t>
  </si>
  <si>
    <t>5.3</t>
  </si>
  <si>
    <t>5.4</t>
  </si>
  <si>
    <t>5.5</t>
  </si>
  <si>
    <t>5.6</t>
  </si>
  <si>
    <t>โครงการประชาสัมพันธ์</t>
  </si>
  <si>
    <t>โครงการสร้างแรงจูงใจในการชำระภาษี</t>
  </si>
  <si>
    <t xml:space="preserve">แนวทางจัดทำแผนที่ภาษีให้เป็นปัจจุบันและถูกต้อง  นำแผนที่ภาษีมาจัดเก็บอย่างต่อเนื่อง  </t>
  </si>
  <si>
    <t>แนวทางสร้างแรงจูงใจในการ   เสียภาษี  ประชาสัมพันธ์และขอความร่วมมือจากผู้เสียภาษี</t>
  </si>
  <si>
    <t>ค่าล่วงเวลา</t>
  </si>
  <si>
    <t>ค่าเช่าบ้าน</t>
  </si>
  <si>
    <t>ค่ารักษาพยาบาล</t>
  </si>
  <si>
    <t>ค่าการศึกษาบุตร</t>
  </si>
  <si>
    <t>เงินประโยชน์ตอบแทนอื่นเป็นกรณีพิเศษ ๆ</t>
  </si>
  <si>
    <t>ค่าตอบแทนค่าจ้างประจำและพนักงานจ้าง</t>
  </si>
  <si>
    <t>สวัสดิการพนักงานส่วนตำบลลูกจ้างประจำและพนักงานจ้างตามสิทธิที่พึงได้รับ</t>
  </si>
  <si>
    <t>สาธารณูปโภคสำนักงานและสถานที่สาธารณะ</t>
  </si>
  <si>
    <t>โครงการฝึกอบรมและทัศนศึกษาดูงาน</t>
  </si>
  <si>
    <t>2)  ยุทธศาสตร์ด้านพัฒนาคนและสังคม</t>
  </si>
  <si>
    <t xml:space="preserve">โครงการจัดงาน 12 สิงหามหาราชินี  </t>
  </si>
  <si>
    <t xml:space="preserve">โครงการจัดงาน  5   ธันวามหาราช </t>
  </si>
  <si>
    <t xml:space="preserve"> 3) ยุทธศาสตร์ด้านการพัฒนาเศรษฐกิจและแก้ไขปัญหาความยากจน</t>
  </si>
  <si>
    <t>web site  www.chamailocal.go.th    และศูนย์ข้อมูลข่าวสารอบต.ชะมาย</t>
  </si>
  <si>
    <t xml:space="preserve">แนวทางพัฒนาให้บริการด้านสวัสดิการสังคมปรับปรุงการจัดระเบียบชุมชนและพัฒนาให้มีประสิทธิภาพ  </t>
  </si>
  <si>
    <t>โครงการพัฒนากิจกรรมกีฬาต่าง ๆ  ให้มีความหลากหลายและจูงใจทุกกลุ่ม และทุกวัยรวมถึง</t>
  </si>
  <si>
    <t>ผู้ด้อยโอกาสให้มีการเล่นกีฬามากขึ้น</t>
  </si>
  <si>
    <t>โครงการจัดเก็บภาษีนอกสถานที่</t>
  </si>
  <si>
    <t>ค่าตอบแทน</t>
  </si>
  <si>
    <t xml:space="preserve"> จัดซื้อเครื่องแต่งกายให้พนักงานจ้างเพื่อใช้ในการปฏิบัติงานของ อบต. และสร้างแรงจูงใจในการทำงาน </t>
  </si>
  <si>
    <t>2</t>
  </si>
  <si>
    <t>3</t>
  </si>
  <si>
    <t>4</t>
  </si>
  <si>
    <t>5</t>
  </si>
  <si>
    <t>แนวทางจัดซื้อจัดจ้างมีการแข่งขันอย่างเป็นธรรม  โปร่งใส  ตรวจสอบได้</t>
  </si>
  <si>
    <t>รายงานผลการปฏิบัติงานเทศบาลตำบลชะมาย  ประจำปี 2554</t>
  </si>
  <si>
    <t>ปรับปรุงถนนสายนายอำเภอ  หมู่ที่  6</t>
  </si>
  <si>
    <t>ปรับปรุงถนนสายวังรวย   หมู่ที่  4</t>
  </si>
  <si>
    <t>ปรับปรุงถนนสายประดู่  หมู่ที่  1</t>
  </si>
  <si>
    <t>ปรับปรุงถนนสายทุ่งสงนาบอน-แยกโรงเรียนพาณิชยการ  หมู่ที่  7</t>
  </si>
  <si>
    <t>ปรับปรุงถนนสายบ้านยวนไม้ขาว  หมู่ที่  5</t>
  </si>
  <si>
    <t>ก่อสร้างสถานที่ลอยกระทง  หมู่ที่  3</t>
  </si>
  <si>
    <t>ปรับปรุงถนนสายสนามกีฬาชนโค (ตอนสุดท้าย)  หมู่ที่  3</t>
  </si>
  <si>
    <t>ปรับปรุงถนนสายขนส่ง-นายอำเภอ  หมู่ที่  1</t>
  </si>
  <si>
    <t>ปรับปรุงถนนหมู่บ้านทิวทอง  หมู่ที่  7</t>
  </si>
  <si>
    <t>ปรับปรุงถนนสายบ้านนายไสว  หมู่ที่  1</t>
  </si>
  <si>
    <t>ปรับปรุงถนนสายเอสพีแมนชั่นซอย  2  หมู่ที่  8</t>
  </si>
  <si>
    <t>ปรับปรุงถนนสายซอยนาคำทวด  9  หมู่ที่  6</t>
  </si>
  <si>
    <t>บุกเบิกถนนสายลายพิศอุทิศ(สายในอ่าว)  หมู่ที่  4</t>
  </si>
  <si>
    <t>ปรับปรุงถนนสายซอยครัวแก้ว  หมู่ที่  1</t>
  </si>
  <si>
    <t>บุกเบิกถนสายหวยยิ้ว-หน้าบ้านนางเจียม  หมู่ที่  2</t>
  </si>
  <si>
    <t>ก่อสร้างที่ทำการอบต.ชะมาย หมู่ที่  6</t>
  </si>
  <si>
    <t>ก่อสร้างคูระบายน้ำ ริมถนนสายหมู่บ้านสาโรจน์  ซอย 1 หมู่ที่  8</t>
  </si>
  <si>
    <t>ปรับปรุงถนนสายบ้านในพรุ-แยกสำโรง  หมู่ที่  7</t>
  </si>
  <si>
    <t>ขยายเขตไฟฟ้าสาธารณะสายบ้านนิยม  หมู่ที่ 6</t>
  </si>
  <si>
    <t>ติดตั้งวางท่อประปาศาลาอเนกประสงค์สระน้ำนบตาคำ</t>
  </si>
  <si>
    <t>1.21</t>
  </si>
  <si>
    <t>1.22</t>
  </si>
  <si>
    <t>1.23</t>
  </si>
  <si>
    <t>ปรับปรุงถนนสายเขากลาย-ปากคลอง หมู่ที่  3 (เงินสะสม)</t>
  </si>
  <si>
    <t>ปรับปรุงถนนสายนายอำเภอ (เทศบาลเมืองทุ่งสง-บ้านหนองเหรียง) หมู่ที่ 1,6 และ  8</t>
  </si>
  <si>
    <t>1.24</t>
  </si>
  <si>
    <t>ปรับปรุงถนนสายซอยท่าหลวง  หมู่ที่  2</t>
  </si>
  <si>
    <t>โครงการอบรมพนักงานลูกจ้างผู้บริหารและสมาชิกสภาฯ (ทต.จัดเอง)</t>
  </si>
  <si>
    <t>โครงการจัดซื้อถังขยะ</t>
  </si>
  <si>
    <t>โครงการวางท่อระบายน้ำและก่อสร้างถนนที่ดำเนินการเองในปี พ.ศ. 2554</t>
  </si>
  <si>
    <t>รายละเอียดเงินอุดหนุนของเทศบาลตำบลชะมาย</t>
  </si>
  <si>
    <t>อุดหนุนโรงเรียนบ้านวัดเขากลาย (อาหารกลางวัน ภาคเรียนที่ 1/2554)</t>
  </si>
  <si>
    <t>อุดหนุนโรงเรียนบ้านหนองหว้า (อาหารกลางวัน ภาคเรียนที่  1/2554)</t>
  </si>
  <si>
    <t xml:space="preserve"> 1.1  ค่าใช้จ่ายในการส่งเสริมศูนย์บริการและถ่ายทอดเทคโนโลยีการเกษตรประจำตำบล</t>
  </si>
  <si>
    <t xml:space="preserve"> 1.2 อุดหนุนกลุ่มพัฒนาสตรีบ้านเขากลาย  หมู่ที่  3</t>
  </si>
  <si>
    <t>ปรับปรุงถนนสายรุ่งเมืองและถนนสายเขากลาย-ปากคลอง  หมู่ที่  1 (เงินสะสม)</t>
  </si>
  <si>
    <t>วางท่อระบายน้ำคสล.ถนนสายหนองอาม  หมู่ที่  2</t>
  </si>
  <si>
    <t>งบประมาณ</t>
  </si>
  <si>
    <t>ซ่อมแซมถนนซอยท่ามสิน ซอย2  หมู่ที่  1</t>
  </si>
  <si>
    <t>ซ่อมแซมถนนสายเขากลาย - ปากคลอง  หมู่ที่  3</t>
  </si>
  <si>
    <t>ซ่อมแซมถนนสายกรุงแสง  หมู่ที่  2</t>
  </si>
  <si>
    <t>วางท่อระบายน้ำคสล.ถนนสายรุ่งเมือง  หมู่ที่  1</t>
  </si>
  <si>
    <t>1.25</t>
  </si>
  <si>
    <t>1.26</t>
  </si>
  <si>
    <t>1.27</t>
  </si>
  <si>
    <t>1.28</t>
  </si>
  <si>
    <t>1.29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</si>
</sst>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_-* #,##0_-;\-* #,##0_-;_-* &quot;-&quot;??_-;_-@_-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8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sz val="6"/>
      <name val="TH SarabunPSK"/>
      <family val="2"/>
    </font>
    <font>
      <b/>
      <sz val="10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0" applyNumberFormat="0" applyBorder="0" applyAlignment="0" applyProtection="0"/>
    <xf numFmtId="0" fontId="40" fillId="22" borderId="1" applyNumberFormat="0" applyAlignment="0" applyProtection="0"/>
    <xf numFmtId="0" fontId="41" fillId="23" borderId="0" applyNumberFormat="0" applyBorder="0" applyAlignment="0" applyProtection="0"/>
    <xf numFmtId="0" fontId="42" fillId="0" borderId="4" applyNumberFormat="0" applyFill="0" applyAlignment="0" applyProtection="0"/>
    <xf numFmtId="0" fontId="43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4" fillId="19" borderId="5" applyNumberFormat="0" applyAlignment="0" applyProtection="0"/>
    <xf numFmtId="0" fontId="0" fillId="31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3" fontId="4" fillId="0" borderId="11" xfId="33" applyFont="1" applyBorder="1" applyAlignment="1">
      <alignment horizontal="center"/>
    </xf>
    <xf numFmtId="0" fontId="6" fillId="0" borderId="0" xfId="0" applyFont="1" applyAlignment="1">
      <alignment/>
    </xf>
    <xf numFmtId="43" fontId="6" fillId="0" borderId="12" xfId="33" applyFont="1" applyBorder="1" applyAlignment="1">
      <alignment/>
    </xf>
    <xf numFmtId="0" fontId="6" fillId="0" borderId="13" xfId="0" applyFont="1" applyBorder="1" applyAlignment="1" quotePrefix="1">
      <alignment/>
    </xf>
    <xf numFmtId="43" fontId="6" fillId="0" borderId="14" xfId="33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vertical="top" wrapText="1"/>
    </xf>
    <xf numFmtId="43" fontId="6" fillId="0" borderId="11" xfId="33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43" fontId="4" fillId="0" borderId="11" xfId="33" applyFont="1" applyBorder="1" applyAlignment="1">
      <alignment/>
    </xf>
    <xf numFmtId="0" fontId="6" fillId="0" borderId="11" xfId="0" applyFont="1" applyBorder="1" applyAlignment="1" quotePrefix="1">
      <alignment horizontal="right"/>
    </xf>
    <xf numFmtId="43" fontId="6" fillId="0" borderId="11" xfId="33" applyFont="1" applyBorder="1" applyAlignment="1">
      <alignment horizontal="center"/>
    </xf>
    <xf numFmtId="43" fontId="4" fillId="0" borderId="15" xfId="33" applyFont="1" applyBorder="1" applyAlignment="1">
      <alignment/>
    </xf>
    <xf numFmtId="43" fontId="6" fillId="0" borderId="0" xfId="33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left"/>
    </xf>
    <xf numFmtId="43" fontId="7" fillId="0" borderId="12" xfId="33" applyNumberFormat="1" applyFont="1" applyBorder="1" applyAlignment="1">
      <alignment/>
    </xf>
    <xf numFmtId="0" fontId="7" fillId="0" borderId="13" xfId="0" applyFont="1" applyBorder="1" applyAlignment="1">
      <alignment/>
    </xf>
    <xf numFmtId="43" fontId="7" fillId="0" borderId="14" xfId="33" applyNumberFormat="1" applyFont="1" applyBorder="1" applyAlignment="1">
      <alignment/>
    </xf>
    <xf numFmtId="0" fontId="7" fillId="0" borderId="11" xfId="0" applyFont="1" applyBorder="1" applyAlignment="1" quotePrefix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43" fontId="7" fillId="0" borderId="11" xfId="33" applyNumberFormat="1" applyFont="1" applyBorder="1" applyAlignment="1">
      <alignment/>
    </xf>
    <xf numFmtId="43" fontId="8" fillId="0" borderId="15" xfId="33" applyNumberFormat="1" applyFont="1" applyBorder="1" applyAlignment="1">
      <alignment/>
    </xf>
    <xf numFmtId="0" fontId="7" fillId="0" borderId="14" xfId="0" applyFont="1" applyBorder="1" applyAlignment="1">
      <alignment/>
    </xf>
    <xf numFmtId="43" fontId="7" fillId="0" borderId="14" xfId="33" applyFont="1" applyBorder="1" applyAlignment="1">
      <alignment/>
    </xf>
    <xf numFmtId="0" fontId="7" fillId="0" borderId="11" xfId="0" applyFont="1" applyBorder="1" applyAlignment="1">
      <alignment vertical="top" wrapText="1"/>
    </xf>
    <xf numFmtId="43" fontId="7" fillId="0" borderId="0" xfId="0" applyNumberFormat="1" applyFont="1" applyAlignment="1">
      <alignment/>
    </xf>
    <xf numFmtId="43" fontId="7" fillId="0" borderId="0" xfId="33" applyFont="1" applyAlignment="1">
      <alignment/>
    </xf>
    <xf numFmtId="43" fontId="7" fillId="0" borderId="11" xfId="33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/>
    </xf>
    <xf numFmtId="43" fontId="8" fillId="0" borderId="11" xfId="33" applyNumberFormat="1" applyFont="1" applyBorder="1" applyAlignment="1">
      <alignment/>
    </xf>
    <xf numFmtId="43" fontId="8" fillId="0" borderId="16" xfId="33" applyFont="1" applyBorder="1" applyAlignment="1">
      <alignment/>
    </xf>
    <xf numFmtId="43" fontId="7" fillId="0" borderId="0" xfId="33" applyNumberFormat="1" applyFont="1" applyAlignment="1">
      <alignment/>
    </xf>
    <xf numFmtId="0" fontId="3" fillId="0" borderId="10" xfId="0" applyFont="1" applyBorder="1" applyAlignment="1">
      <alignment horizontal="center" vertical="top" wrapText="1"/>
    </xf>
    <xf numFmtId="43" fontId="7" fillId="0" borderId="11" xfId="33" applyFont="1" applyBorder="1" applyAlignment="1">
      <alignment/>
    </xf>
    <xf numFmtId="43" fontId="8" fillId="0" borderId="15" xfId="33" applyFont="1" applyBorder="1" applyAlignment="1">
      <alignment/>
    </xf>
    <xf numFmtId="43" fontId="7" fillId="0" borderId="11" xfId="33" applyFont="1" applyBorder="1" applyAlignment="1">
      <alignment horizontal="center"/>
    </xf>
    <xf numFmtId="43" fontId="8" fillId="0" borderId="11" xfId="33" applyFont="1" applyBorder="1" applyAlignment="1">
      <alignment/>
    </xf>
    <xf numFmtId="43" fontId="5" fillId="0" borderId="0" xfId="33" applyFont="1" applyAlignment="1">
      <alignment/>
    </xf>
    <xf numFmtId="0" fontId="9" fillId="0" borderId="0" xfId="0" applyFont="1" applyAlignment="1">
      <alignment/>
    </xf>
    <xf numFmtId="0" fontId="7" fillId="0" borderId="17" xfId="0" applyFont="1" applyBorder="1" applyAlignment="1">
      <alignment/>
    </xf>
    <xf numFmtId="43" fontId="6" fillId="0" borderId="12" xfId="33" applyFont="1" applyBorder="1" applyAlignment="1">
      <alignment horizontal="center"/>
    </xf>
    <xf numFmtId="0" fontId="6" fillId="0" borderId="14" xfId="0" applyFont="1" applyBorder="1" applyAlignment="1">
      <alignment/>
    </xf>
    <xf numFmtId="43" fontId="6" fillId="0" borderId="14" xfId="33" applyFont="1" applyBorder="1" applyAlignment="1">
      <alignment horizontal="center"/>
    </xf>
    <xf numFmtId="0" fontId="6" fillId="0" borderId="18" xfId="0" applyFont="1" applyBorder="1" applyAlignment="1" quotePrefix="1">
      <alignment horizontal="right"/>
    </xf>
    <xf numFmtId="43" fontId="7" fillId="0" borderId="12" xfId="33" applyFont="1" applyBorder="1" applyAlignment="1">
      <alignment/>
    </xf>
    <xf numFmtId="0" fontId="6" fillId="0" borderId="17" xfId="0" applyFont="1" applyBorder="1" applyAlignment="1" quotePrefix="1">
      <alignment horizontal="right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 quotePrefix="1">
      <alignment/>
    </xf>
    <xf numFmtId="0" fontId="6" fillId="0" borderId="18" xfId="0" applyFont="1" applyBorder="1" applyAlignment="1">
      <alignment/>
    </xf>
    <xf numFmtId="43" fontId="7" fillId="0" borderId="17" xfId="33" applyFont="1" applyBorder="1" applyAlignment="1">
      <alignment/>
    </xf>
    <xf numFmtId="43" fontId="5" fillId="0" borderId="12" xfId="33" applyFont="1" applyBorder="1" applyAlignment="1">
      <alignment/>
    </xf>
    <xf numFmtId="43" fontId="5" fillId="0" borderId="14" xfId="33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43" fontId="7" fillId="0" borderId="17" xfId="33" applyFont="1" applyBorder="1" applyAlignment="1">
      <alignment horizontal="center"/>
    </xf>
    <xf numFmtId="43" fontId="5" fillId="0" borderId="11" xfId="33" applyFont="1" applyBorder="1" applyAlignment="1">
      <alignment/>
    </xf>
    <xf numFmtId="0" fontId="7" fillId="0" borderId="11" xfId="0" applyFont="1" applyBorder="1" applyAlignment="1">
      <alignment horizontal="left"/>
    </xf>
    <xf numFmtId="196" fontId="7" fillId="0" borderId="11" xfId="33" applyNumberFormat="1" applyFont="1" applyBorder="1" applyAlignment="1">
      <alignment/>
    </xf>
    <xf numFmtId="0" fontId="6" fillId="0" borderId="19" xfId="0" applyFont="1" applyBorder="1" applyAlignment="1">
      <alignment/>
    </xf>
    <xf numFmtId="43" fontId="5" fillId="0" borderId="12" xfId="33" applyFont="1" applyBorder="1" applyAlignment="1">
      <alignment horizontal="center"/>
    </xf>
    <xf numFmtId="0" fontId="7" fillId="0" borderId="0" xfId="0" applyFont="1" applyAlignment="1">
      <alignment wrapText="1"/>
    </xf>
    <xf numFmtId="43" fontId="8" fillId="0" borderId="11" xfId="33" applyFont="1" applyBorder="1" applyAlignment="1">
      <alignment horizontal="center"/>
    </xf>
    <xf numFmtId="43" fontId="6" fillId="0" borderId="17" xfId="33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18" xfId="0" applyFont="1" applyBorder="1" applyAlignment="1">
      <alignment/>
    </xf>
    <xf numFmtId="43" fontId="5" fillId="0" borderId="17" xfId="33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43" fontId="6" fillId="0" borderId="15" xfId="33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 quotePrefix="1">
      <alignment horizontal="left"/>
    </xf>
    <xf numFmtId="0" fontId="4" fillId="0" borderId="11" xfId="0" applyFont="1" applyBorder="1" applyAlignment="1" quotePrefix="1">
      <alignment/>
    </xf>
    <xf numFmtId="0" fontId="4" fillId="0" borderId="11" xfId="0" applyFont="1" applyBorder="1" applyAlignment="1">
      <alignment/>
    </xf>
    <xf numFmtId="0" fontId="12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8" fillId="0" borderId="20" xfId="0" applyFont="1" applyBorder="1" applyAlignment="1" quotePrefix="1">
      <alignment/>
    </xf>
    <xf numFmtId="0" fontId="8" fillId="0" borderId="12" xfId="0" applyFont="1" applyBorder="1" applyAlignment="1">
      <alignment horizontal="left"/>
    </xf>
    <xf numFmtId="43" fontId="8" fillId="0" borderId="12" xfId="33" applyNumberFormat="1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 quotePrefix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8" fillId="0" borderId="19" xfId="0" applyFont="1" applyBorder="1" applyAlignment="1" quotePrefix="1">
      <alignment/>
    </xf>
    <xf numFmtId="0" fontId="7" fillId="0" borderId="2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 quotePrefix="1">
      <alignment/>
    </xf>
    <xf numFmtId="0" fontId="8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 quotePrefix="1">
      <alignment/>
    </xf>
    <xf numFmtId="0" fontId="4" fillId="0" borderId="18" xfId="0" applyFont="1" applyBorder="1" applyAlignment="1" quotePrefix="1">
      <alignment/>
    </xf>
    <xf numFmtId="0" fontId="8" fillId="0" borderId="17" xfId="0" applyFont="1" applyBorder="1" applyAlignment="1">
      <alignment/>
    </xf>
    <xf numFmtId="0" fontId="4" fillId="0" borderId="21" xfId="0" applyFont="1" applyBorder="1" applyAlignment="1" quotePrefix="1">
      <alignment/>
    </xf>
    <xf numFmtId="0" fontId="4" fillId="0" borderId="20" xfId="0" applyFont="1" applyBorder="1" applyAlignment="1" quotePrefix="1">
      <alignment/>
    </xf>
    <xf numFmtId="0" fontId="8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7" xfId="0" applyFont="1" applyBorder="1" applyAlignment="1" quotePrefix="1">
      <alignment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19" xfId="0" applyFont="1" applyBorder="1" applyAlignment="1" quotePrefix="1">
      <alignment/>
    </xf>
    <xf numFmtId="0" fontId="8" fillId="0" borderId="21" xfId="0" applyFont="1" applyBorder="1" applyAlignment="1">
      <alignment/>
    </xf>
    <xf numFmtId="43" fontId="5" fillId="0" borderId="21" xfId="33" applyFont="1" applyBorder="1" applyAlignment="1">
      <alignment/>
    </xf>
    <xf numFmtId="0" fontId="10" fillId="0" borderId="12" xfId="0" applyFont="1" applyBorder="1" applyAlignment="1">
      <alignment/>
    </xf>
    <xf numFmtId="43" fontId="6" fillId="0" borderId="0" xfId="0" applyNumberFormat="1" applyFont="1" applyAlignment="1">
      <alignment/>
    </xf>
    <xf numFmtId="196" fontId="6" fillId="0" borderId="0" xfId="33" applyNumberFormat="1" applyFont="1" applyAlignment="1">
      <alignment/>
    </xf>
    <xf numFmtId="17" fontId="6" fillId="0" borderId="11" xfId="0" applyNumberFormat="1" applyFont="1" applyBorder="1" applyAlignment="1" quotePrefix="1">
      <alignment horizontal="center"/>
    </xf>
    <xf numFmtId="43" fontId="7" fillId="0" borderId="1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13" fillId="0" borderId="17" xfId="0" applyFont="1" applyBorder="1" applyAlignment="1">
      <alignment/>
    </xf>
    <xf numFmtId="43" fontId="7" fillId="0" borderId="14" xfId="33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 quotePrefix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 quotePrefix="1">
      <alignment horizontal="center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 quotePrefix="1">
      <alignment horizontal="center"/>
    </xf>
    <xf numFmtId="0" fontId="3" fillId="0" borderId="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3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96" fontId="6" fillId="0" borderId="11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8">
      <selection activeCell="F37" sqref="F37"/>
    </sheetView>
  </sheetViews>
  <sheetFormatPr defaultColWidth="9.140625" defaultRowHeight="12.75"/>
  <cols>
    <col min="1" max="1" width="4.7109375" style="6" customWidth="1"/>
    <col min="2" max="2" width="69.421875" style="3" bestFit="1" customWidth="1"/>
    <col min="3" max="3" width="15.7109375" style="21" bestFit="1" customWidth="1"/>
    <col min="4" max="5" width="9.140625" style="3" customWidth="1"/>
    <col min="6" max="6" width="11.00390625" style="3" bestFit="1" customWidth="1"/>
    <col min="7" max="16384" width="9.140625" style="3" customWidth="1"/>
  </cols>
  <sheetData>
    <row r="1" spans="1:4" ht="23.25">
      <c r="A1" s="134" t="s">
        <v>240</v>
      </c>
      <c r="B1" s="134"/>
      <c r="C1" s="134"/>
      <c r="D1" s="2"/>
    </row>
    <row r="2" spans="1:3" ht="23.25">
      <c r="A2" s="134" t="s">
        <v>0</v>
      </c>
      <c r="B2" s="134"/>
      <c r="C2" s="134"/>
    </row>
    <row r="3" spans="1:3" ht="23.25">
      <c r="A3" s="4"/>
      <c r="B3" s="4"/>
      <c r="C3" s="4"/>
    </row>
    <row r="4" spans="1:3" s="6" customFormat="1" ht="21">
      <c r="A4" s="137" t="s">
        <v>1</v>
      </c>
      <c r="B4" s="138"/>
      <c r="C4" s="5" t="s">
        <v>2</v>
      </c>
    </row>
    <row r="5" spans="1:3" ht="23.25" customHeight="1">
      <c r="A5" s="88" t="s">
        <v>50</v>
      </c>
      <c r="B5" s="86" t="s">
        <v>205</v>
      </c>
      <c r="C5" s="7"/>
    </row>
    <row r="6" spans="1:3" ht="23.25" customHeight="1">
      <c r="A6" s="8"/>
      <c r="B6" s="87" t="s">
        <v>49</v>
      </c>
      <c r="C6" s="9"/>
    </row>
    <row r="7" spans="1:3" ht="21">
      <c r="A7" s="10" t="s">
        <v>51</v>
      </c>
      <c r="B7" s="11" t="s">
        <v>241</v>
      </c>
      <c r="C7" s="12">
        <v>1938000</v>
      </c>
    </row>
    <row r="8" spans="1:3" ht="21">
      <c r="A8" s="10" t="s">
        <v>52</v>
      </c>
      <c r="B8" s="13" t="s">
        <v>242</v>
      </c>
      <c r="C8" s="12">
        <v>68000</v>
      </c>
    </row>
    <row r="9" spans="1:3" ht="21">
      <c r="A9" s="10" t="s">
        <v>53</v>
      </c>
      <c r="B9" s="13" t="s">
        <v>243</v>
      </c>
      <c r="C9" s="12">
        <v>1032000</v>
      </c>
    </row>
    <row r="10" spans="1:3" ht="21">
      <c r="A10" s="10" t="s">
        <v>54</v>
      </c>
      <c r="B10" s="13" t="s">
        <v>244</v>
      </c>
      <c r="C10" s="12">
        <v>775000</v>
      </c>
    </row>
    <row r="11" spans="1:3" ht="21">
      <c r="A11" s="10" t="s">
        <v>55</v>
      </c>
      <c r="B11" s="13" t="s">
        <v>245</v>
      </c>
      <c r="C11" s="12">
        <v>714000</v>
      </c>
    </row>
    <row r="12" spans="1:3" ht="21">
      <c r="A12" s="10" t="s">
        <v>56</v>
      </c>
      <c r="B12" s="13" t="s">
        <v>246</v>
      </c>
      <c r="C12" s="12">
        <v>56500</v>
      </c>
    </row>
    <row r="13" spans="1:3" ht="21">
      <c r="A13" s="10" t="s">
        <v>57</v>
      </c>
      <c r="B13" s="13" t="s">
        <v>247</v>
      </c>
      <c r="C13" s="12">
        <v>1113000</v>
      </c>
    </row>
    <row r="14" spans="1:3" ht="21">
      <c r="A14" s="10" t="s">
        <v>58</v>
      </c>
      <c r="B14" s="13" t="s">
        <v>248</v>
      </c>
      <c r="C14" s="12">
        <v>676000</v>
      </c>
    </row>
    <row r="15" spans="1:3" ht="21">
      <c r="A15" s="10" t="s">
        <v>59</v>
      </c>
      <c r="B15" s="13" t="s">
        <v>249</v>
      </c>
      <c r="C15" s="12">
        <v>400000</v>
      </c>
    </row>
    <row r="16" spans="1:3" ht="21">
      <c r="A16" s="10" t="s">
        <v>60</v>
      </c>
      <c r="B16" s="13" t="s">
        <v>250</v>
      </c>
      <c r="C16" s="12">
        <v>146000</v>
      </c>
    </row>
    <row r="17" spans="1:3" ht="21">
      <c r="A17" s="10" t="s">
        <v>61</v>
      </c>
      <c r="B17" s="13" t="s">
        <v>251</v>
      </c>
      <c r="C17" s="12">
        <v>164000</v>
      </c>
    </row>
    <row r="18" spans="1:3" ht="21">
      <c r="A18" s="10" t="s">
        <v>62</v>
      </c>
      <c r="B18" s="13" t="s">
        <v>252</v>
      </c>
      <c r="C18" s="12">
        <v>523000</v>
      </c>
    </row>
    <row r="19" spans="1:3" ht="21">
      <c r="A19" s="10" t="s">
        <v>63</v>
      </c>
      <c r="B19" s="13" t="s">
        <v>253</v>
      </c>
      <c r="C19" s="12">
        <v>273000</v>
      </c>
    </row>
    <row r="20" spans="1:3" ht="21">
      <c r="A20" s="10" t="s">
        <v>64</v>
      </c>
      <c r="B20" s="13" t="s">
        <v>254</v>
      </c>
      <c r="C20" s="12">
        <v>488000</v>
      </c>
    </row>
    <row r="21" spans="1:3" ht="21">
      <c r="A21" s="10" t="s">
        <v>65</v>
      </c>
      <c r="B21" s="13" t="s">
        <v>255</v>
      </c>
      <c r="C21" s="12">
        <v>163000</v>
      </c>
    </row>
    <row r="22" spans="1:3" ht="21">
      <c r="A22" s="10" t="s">
        <v>66</v>
      </c>
      <c r="B22" s="13" t="s">
        <v>256</v>
      </c>
      <c r="C22" s="12">
        <v>600000</v>
      </c>
    </row>
    <row r="23" spans="1:3" ht="21">
      <c r="A23" s="10" t="s">
        <v>67</v>
      </c>
      <c r="B23" s="13" t="s">
        <v>257</v>
      </c>
      <c r="C23" s="12">
        <v>275000</v>
      </c>
    </row>
    <row r="24" spans="1:3" ht="21">
      <c r="A24" s="10" t="s">
        <v>68</v>
      </c>
      <c r="B24" s="11" t="s">
        <v>258</v>
      </c>
      <c r="C24" s="12">
        <v>1000000</v>
      </c>
    </row>
    <row r="25" spans="1:3" ht="21">
      <c r="A25" s="10" t="s">
        <v>69</v>
      </c>
      <c r="B25" s="13" t="s">
        <v>259</v>
      </c>
      <c r="C25" s="12">
        <v>115078.5</v>
      </c>
    </row>
    <row r="26" spans="1:3" ht="21">
      <c r="A26" s="10" t="s">
        <v>70</v>
      </c>
      <c r="B26" s="13" t="s">
        <v>260</v>
      </c>
      <c r="C26" s="12">
        <v>3600</v>
      </c>
    </row>
    <row r="27" spans="1:3" ht="21">
      <c r="A27" s="10" t="s">
        <v>261</v>
      </c>
      <c r="B27" s="13" t="s">
        <v>264</v>
      </c>
      <c r="C27" s="12">
        <v>134600</v>
      </c>
    </row>
    <row r="28" spans="1:3" ht="21">
      <c r="A28" s="10" t="s">
        <v>262</v>
      </c>
      <c r="B28" s="13" t="s">
        <v>276</v>
      </c>
      <c r="C28" s="12">
        <v>942000</v>
      </c>
    </row>
    <row r="29" spans="1:3" ht="21">
      <c r="A29" s="10" t="s">
        <v>263</v>
      </c>
      <c r="B29" s="13" t="s">
        <v>265</v>
      </c>
      <c r="C29" s="12">
        <v>1488000</v>
      </c>
    </row>
    <row r="30" spans="1:3" ht="21">
      <c r="A30" s="10" t="s">
        <v>266</v>
      </c>
      <c r="B30" s="13" t="s">
        <v>267</v>
      </c>
      <c r="C30" s="12">
        <v>488000</v>
      </c>
    </row>
    <row r="31" spans="1:3" ht="21">
      <c r="A31" s="10" t="s">
        <v>283</v>
      </c>
      <c r="B31" s="15" t="s">
        <v>277</v>
      </c>
      <c r="C31" s="12">
        <v>29692</v>
      </c>
    </row>
    <row r="32" spans="1:3" ht="21">
      <c r="A32" s="10" t="s">
        <v>284</v>
      </c>
      <c r="B32" s="15" t="s">
        <v>279</v>
      </c>
      <c r="C32" s="12">
        <v>19770</v>
      </c>
    </row>
    <row r="33" spans="1:3" ht="21">
      <c r="A33" s="10" t="s">
        <v>285</v>
      </c>
      <c r="B33" s="15" t="s">
        <v>280</v>
      </c>
      <c r="C33" s="12">
        <v>17039</v>
      </c>
    </row>
    <row r="34" spans="1:3" ht="21">
      <c r="A34" s="10" t="s">
        <v>286</v>
      </c>
      <c r="B34" s="15" t="s">
        <v>281</v>
      </c>
      <c r="C34" s="12">
        <v>16283</v>
      </c>
    </row>
    <row r="35" spans="1:3" ht="21">
      <c r="A35" s="10" t="s">
        <v>287</v>
      </c>
      <c r="B35" s="15" t="s">
        <v>282</v>
      </c>
      <c r="C35" s="12">
        <v>35977</v>
      </c>
    </row>
    <row r="36" spans="1:3" ht="21">
      <c r="A36" s="15"/>
      <c r="B36" s="16" t="s">
        <v>3</v>
      </c>
      <c r="C36" s="17">
        <f>SUM(C7:C35)</f>
        <v>13694539.5</v>
      </c>
    </row>
    <row r="37" spans="1:3" s="91" customFormat="1" ht="21">
      <c r="A37" s="89" t="s">
        <v>110</v>
      </c>
      <c r="B37" s="90" t="s">
        <v>135</v>
      </c>
      <c r="C37" s="17"/>
    </row>
    <row r="38" spans="1:3" ht="21">
      <c r="A38" s="15"/>
      <c r="B38" s="15" t="s">
        <v>134</v>
      </c>
      <c r="C38" s="12"/>
    </row>
    <row r="39" spans="1:3" ht="21">
      <c r="A39" s="18" t="s">
        <v>111</v>
      </c>
      <c r="B39" s="11" t="s">
        <v>136</v>
      </c>
      <c r="C39" s="12">
        <v>51000</v>
      </c>
    </row>
    <row r="40" spans="1:3" ht="21">
      <c r="A40" s="18" t="s">
        <v>168</v>
      </c>
      <c r="B40" s="11" t="s">
        <v>169</v>
      </c>
      <c r="C40" s="19" t="s">
        <v>12</v>
      </c>
    </row>
    <row r="41" spans="1:3" ht="21">
      <c r="A41" s="15"/>
      <c r="B41" s="16" t="s">
        <v>3</v>
      </c>
      <c r="C41" s="17">
        <f>SUM(C39:C39)</f>
        <v>51000</v>
      </c>
    </row>
    <row r="42" spans="1:3" s="91" customFormat="1" ht="21">
      <c r="A42" s="89" t="s">
        <v>112</v>
      </c>
      <c r="B42" s="92" t="s">
        <v>137</v>
      </c>
      <c r="C42" s="17"/>
    </row>
    <row r="43" spans="1:3" ht="21">
      <c r="A43" s="18" t="s">
        <v>133</v>
      </c>
      <c r="B43" s="11" t="s">
        <v>138</v>
      </c>
      <c r="C43" s="19" t="s">
        <v>12</v>
      </c>
    </row>
    <row r="44" spans="1:3" ht="21">
      <c r="A44" s="139" t="s">
        <v>3</v>
      </c>
      <c r="B44" s="140"/>
      <c r="C44" s="5">
        <f>SUM(C43)</f>
        <v>0</v>
      </c>
    </row>
    <row r="45" spans="1:3" ht="21.75" thickBot="1">
      <c r="A45" s="135" t="s">
        <v>4</v>
      </c>
      <c r="B45" s="136"/>
      <c r="C45" s="20">
        <f>C36+C41+C44</f>
        <v>13745539.5</v>
      </c>
    </row>
    <row r="46" ht="21.75" thickTop="1"/>
  </sheetData>
  <sheetProtection/>
  <mergeCells count="5">
    <mergeCell ref="A1:C1"/>
    <mergeCell ref="A2:C2"/>
    <mergeCell ref="A45:B45"/>
    <mergeCell ref="A4:B4"/>
    <mergeCell ref="A44:B44"/>
  </mergeCells>
  <printOptions horizontalCentered="1"/>
  <pageMargins left="0.6299212598425197" right="0.31496062992125984" top="0.7086614173228347" bottom="0.4330708661417323" header="0.31496062992125984" footer="0.1968503937007874"/>
  <pageSetup horizontalDpi="600" verticalDpi="600" orientation="portrait" paperSize="9" r:id="rId1"/>
  <headerFooter alignWithMargins="0">
    <oddHeader>&amp;C&amp;"TH SarabunPSK,ธรรมดา"&amp;16&amp;P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46">
      <selection activeCell="C63" sqref="C63"/>
    </sheetView>
  </sheetViews>
  <sheetFormatPr defaultColWidth="9.140625" defaultRowHeight="12.75"/>
  <cols>
    <col min="1" max="1" width="4.57421875" style="22" customWidth="1"/>
    <col min="2" max="2" width="75.421875" style="22" customWidth="1"/>
    <col min="3" max="3" width="15.00390625" style="42" customWidth="1"/>
    <col min="4" max="4" width="20.7109375" style="22" customWidth="1"/>
    <col min="5" max="5" width="12.421875" style="22" bestFit="1" customWidth="1"/>
    <col min="6" max="16384" width="9.140625" style="22" customWidth="1"/>
  </cols>
  <sheetData>
    <row r="1" spans="1:3" ht="27.75">
      <c r="A1" s="151" t="s">
        <v>224</v>
      </c>
      <c r="B1" s="151"/>
      <c r="C1" s="151"/>
    </row>
    <row r="2" spans="1:3" ht="27.75">
      <c r="A2" s="43"/>
      <c r="B2" s="43"/>
      <c r="C2" s="43"/>
    </row>
    <row r="3" spans="1:3" s="6" customFormat="1" ht="24">
      <c r="A3" s="137" t="s">
        <v>1</v>
      </c>
      <c r="B3" s="138"/>
      <c r="C3" s="5" t="s">
        <v>2</v>
      </c>
    </row>
    <row r="4" spans="1:3" ht="23.25">
      <c r="A4" s="93" t="s">
        <v>71</v>
      </c>
      <c r="B4" s="94" t="s">
        <v>72</v>
      </c>
      <c r="C4" s="95"/>
    </row>
    <row r="5" spans="1:3" ht="23.25">
      <c r="A5" s="25"/>
      <c r="B5" s="96" t="s">
        <v>5</v>
      </c>
      <c r="C5" s="26"/>
    </row>
    <row r="6" spans="1:4" ht="24">
      <c r="A6" s="27" t="s">
        <v>51</v>
      </c>
      <c r="B6" s="28" t="s">
        <v>73</v>
      </c>
      <c r="C6" s="12">
        <v>1849900</v>
      </c>
      <c r="D6" s="22">
        <f>170300+172900+117000+128700+1261000</f>
        <v>1849900</v>
      </c>
    </row>
    <row r="7" spans="1:4" ht="24">
      <c r="A7" s="27" t="s">
        <v>52</v>
      </c>
      <c r="B7" s="28" t="s">
        <v>75</v>
      </c>
      <c r="C7" s="12">
        <v>431536</v>
      </c>
      <c r="D7" s="22">
        <f>33813+21879+17901+17901+21879+17888+13923+41769+5304+2850+17901+21879+21879+22100+19890+24310+24310+22100+22100+39780</f>
        <v>431356</v>
      </c>
    </row>
    <row r="8" spans="1:3" ht="23.25">
      <c r="A8" s="27" t="s">
        <v>53</v>
      </c>
      <c r="B8" s="29" t="s">
        <v>105</v>
      </c>
      <c r="C8" s="30">
        <v>0</v>
      </c>
    </row>
    <row r="9" spans="1:3" ht="23.25">
      <c r="A9" s="27" t="s">
        <v>54</v>
      </c>
      <c r="B9" s="29" t="s">
        <v>74</v>
      </c>
      <c r="C9" s="30">
        <v>0</v>
      </c>
    </row>
    <row r="10" spans="1:3" ht="23.25">
      <c r="A10" s="27" t="s">
        <v>55</v>
      </c>
      <c r="B10" s="29" t="s">
        <v>76</v>
      </c>
      <c r="C10" s="30">
        <v>0</v>
      </c>
    </row>
    <row r="11" spans="1:3" ht="24" thickBot="1">
      <c r="A11" s="143" t="s">
        <v>3</v>
      </c>
      <c r="B11" s="144"/>
      <c r="C11" s="31">
        <f>SUM(C6:C10)</f>
        <v>2281436</v>
      </c>
    </row>
    <row r="12" spans="1:3" ht="20.25" thickTop="1">
      <c r="A12" s="97" t="s">
        <v>110</v>
      </c>
      <c r="B12" s="98" t="s">
        <v>85</v>
      </c>
      <c r="C12" s="26"/>
    </row>
    <row r="13" spans="1:3" ht="19.5">
      <c r="A13" s="27" t="s">
        <v>111</v>
      </c>
      <c r="B13" s="29" t="s">
        <v>106</v>
      </c>
      <c r="C13" s="30">
        <v>20000</v>
      </c>
    </row>
    <row r="14" spans="1:3" ht="19.5">
      <c r="A14" s="27" t="s">
        <v>109</v>
      </c>
      <c r="B14" s="29" t="s">
        <v>77</v>
      </c>
      <c r="C14" s="30">
        <v>0</v>
      </c>
    </row>
    <row r="15" spans="1:3" ht="20.25" thickBot="1">
      <c r="A15" s="145" t="s">
        <v>3</v>
      </c>
      <c r="B15" s="146"/>
      <c r="C15" s="31">
        <f>SUM(C13:C14)</f>
        <v>20000</v>
      </c>
    </row>
    <row r="16" spans="1:3" ht="20.25" thickTop="1">
      <c r="A16" s="99" t="s">
        <v>112</v>
      </c>
      <c r="B16" s="100" t="s">
        <v>78</v>
      </c>
      <c r="C16" s="33"/>
    </row>
    <row r="17" spans="1:3" ht="19.5">
      <c r="A17" s="28">
        <v>3.1</v>
      </c>
      <c r="B17" s="29" t="s">
        <v>98</v>
      </c>
      <c r="C17" s="30">
        <v>5000</v>
      </c>
    </row>
    <row r="18" spans="1:3" ht="19.5">
      <c r="A18" s="27" t="s">
        <v>113</v>
      </c>
      <c r="B18" s="28" t="s">
        <v>99</v>
      </c>
      <c r="C18" s="30">
        <v>15000</v>
      </c>
    </row>
    <row r="19" spans="1:3" ht="19.5">
      <c r="A19" s="27" t="s">
        <v>114</v>
      </c>
      <c r="B19" s="28" t="s">
        <v>100</v>
      </c>
      <c r="C19" s="30">
        <f>12500*8</f>
        <v>100000</v>
      </c>
    </row>
    <row r="20" spans="1:3" ht="19.5">
      <c r="A20" s="27" t="s">
        <v>115</v>
      </c>
      <c r="B20" s="28" t="s">
        <v>79</v>
      </c>
      <c r="C20" s="30">
        <f>25000+60000+10000</f>
        <v>95000</v>
      </c>
    </row>
    <row r="21" spans="1:3" ht="19.5">
      <c r="A21" s="27" t="s">
        <v>116</v>
      </c>
      <c r="B21" s="28" t="s">
        <v>225</v>
      </c>
      <c r="C21" s="30">
        <v>3600</v>
      </c>
    </row>
    <row r="22" spans="1:3" ht="19.5">
      <c r="A22" s="27" t="s">
        <v>117</v>
      </c>
      <c r="B22" s="29" t="s">
        <v>226</v>
      </c>
      <c r="C22" s="30">
        <v>29000</v>
      </c>
    </row>
    <row r="23" spans="1:3" ht="19.5">
      <c r="A23" s="27" t="s">
        <v>118</v>
      </c>
      <c r="B23" s="29" t="s">
        <v>82</v>
      </c>
      <c r="C23" s="30">
        <v>6000</v>
      </c>
    </row>
    <row r="24" spans="1:3" ht="19.5">
      <c r="A24" s="27" t="s">
        <v>119</v>
      </c>
      <c r="B24" s="29" t="s">
        <v>81</v>
      </c>
      <c r="C24" s="30">
        <v>86450</v>
      </c>
    </row>
    <row r="25" spans="1:3" ht="19.5">
      <c r="A25" s="27" t="s">
        <v>120</v>
      </c>
      <c r="B25" s="29" t="s">
        <v>80</v>
      </c>
      <c r="C25" s="30">
        <v>14448</v>
      </c>
    </row>
    <row r="26" spans="1:3" ht="19.5">
      <c r="A26" s="27" t="s">
        <v>121</v>
      </c>
      <c r="B26" s="29" t="s">
        <v>84</v>
      </c>
      <c r="C26" s="30">
        <f>12000+20000+20000+12000+12000+12000+22000+12610</f>
        <v>122610</v>
      </c>
    </row>
    <row r="27" spans="1:3" ht="19.5">
      <c r="A27" s="27" t="s">
        <v>122</v>
      </c>
      <c r="B27" s="34" t="s">
        <v>107</v>
      </c>
      <c r="C27" s="30">
        <v>0</v>
      </c>
    </row>
    <row r="28" spans="1:3" ht="19.5">
      <c r="A28" s="27" t="s">
        <v>123</v>
      </c>
      <c r="B28" s="34" t="s">
        <v>83</v>
      </c>
      <c r="C28" s="30">
        <v>0</v>
      </c>
    </row>
    <row r="29" spans="1:3" ht="20.25" thickBot="1">
      <c r="A29" s="145" t="s">
        <v>3</v>
      </c>
      <c r="B29" s="146"/>
      <c r="C29" s="31">
        <f>SUM(C17:C28)</f>
        <v>477108</v>
      </c>
    </row>
    <row r="30" spans="1:3" ht="20.25" thickTop="1">
      <c r="A30" s="97" t="s">
        <v>87</v>
      </c>
      <c r="B30" s="96" t="s">
        <v>229</v>
      </c>
      <c r="C30" s="26"/>
    </row>
    <row r="31" spans="1:3" ht="19.5">
      <c r="A31" s="27" t="s">
        <v>124</v>
      </c>
      <c r="B31" s="29" t="s">
        <v>101</v>
      </c>
      <c r="C31" s="30">
        <f>150000-80</f>
        <v>149920</v>
      </c>
    </row>
    <row r="32" spans="1:3" ht="19.5">
      <c r="A32" s="27" t="s">
        <v>125</v>
      </c>
      <c r="B32" s="29" t="s">
        <v>102</v>
      </c>
      <c r="C32" s="30">
        <v>47288</v>
      </c>
    </row>
    <row r="33" spans="1:3" ht="19.5">
      <c r="A33" s="27" t="s">
        <v>126</v>
      </c>
      <c r="B33" s="29" t="s">
        <v>108</v>
      </c>
      <c r="C33" s="30">
        <v>37260</v>
      </c>
    </row>
    <row r="34" spans="1:3" ht="20.25" thickBot="1">
      <c r="A34" s="145" t="s">
        <v>3</v>
      </c>
      <c r="B34" s="146"/>
      <c r="C34" s="31">
        <f>SUM(C31:C33)</f>
        <v>234468</v>
      </c>
    </row>
    <row r="35" spans="1:3" ht="20.25" thickTop="1">
      <c r="A35" s="99" t="s">
        <v>86</v>
      </c>
      <c r="B35" s="100" t="s">
        <v>186</v>
      </c>
      <c r="C35" s="26"/>
    </row>
    <row r="36" spans="1:3" ht="19.5">
      <c r="A36" s="27" t="s">
        <v>139</v>
      </c>
      <c r="B36" s="28" t="s">
        <v>179</v>
      </c>
      <c r="C36" s="30">
        <f>450000-2000</f>
        <v>448000</v>
      </c>
    </row>
    <row r="37" spans="1:5" ht="19.5">
      <c r="A37" s="27" t="s">
        <v>206</v>
      </c>
      <c r="B37" s="28" t="s">
        <v>180</v>
      </c>
      <c r="C37" s="130">
        <v>639500</v>
      </c>
      <c r="D37" s="35">
        <f>82500+81500+23500+81000+79000+79000+79000+79000+78000</f>
        <v>662500</v>
      </c>
      <c r="E37" s="22">
        <f>82500+81500+81000+79500+79000+79000+79000+78000</f>
        <v>639500</v>
      </c>
    </row>
    <row r="38" spans="1:5" ht="19.5">
      <c r="A38" s="27" t="s">
        <v>207</v>
      </c>
      <c r="B38" s="28" t="s">
        <v>181</v>
      </c>
      <c r="C38" s="30">
        <v>225000</v>
      </c>
      <c r="D38" s="22">
        <f>23500+23500+23500+23000+23000+22500+23000+22500+2000</f>
        <v>186500</v>
      </c>
      <c r="E38" s="22">
        <f>23500+23500+23500+13500+13500+13500+23000+23000+22500+23000+22500</f>
        <v>225000</v>
      </c>
    </row>
    <row r="39" spans="1:4" ht="19.5">
      <c r="A39" s="27" t="s">
        <v>208</v>
      </c>
      <c r="B39" s="28" t="s">
        <v>182</v>
      </c>
      <c r="C39" s="30">
        <f>2500+2500+2000+2000+2000+2000+2000+1500+1500+1500+1500+1500</f>
        <v>22500</v>
      </c>
      <c r="D39" s="22">
        <f>2500+2500+2000+2000+2000+2000+1500+1500+1500+1500+1500</f>
        <v>20500</v>
      </c>
    </row>
    <row r="40" spans="1:4" ht="19.5">
      <c r="A40" s="27" t="s">
        <v>209</v>
      </c>
      <c r="B40" s="28" t="s">
        <v>184</v>
      </c>
      <c r="C40" s="130">
        <v>6784500</v>
      </c>
      <c r="D40" s="35">
        <f>85000+980000+511500+20500+1000+511500+19000+18000+511000+510500+18500+507500+17500+507000+17500+157000+506500+17500+78000+77000+505500+18000+76500+505500+18000+75500+503500+18000+1500+28000</f>
        <v>6822000</v>
      </c>
    </row>
    <row r="41" spans="1:4" ht="19.5">
      <c r="A41" s="27" t="s">
        <v>210</v>
      </c>
      <c r="B41" s="28" t="s">
        <v>185</v>
      </c>
      <c r="C41" s="30">
        <v>318500</v>
      </c>
      <c r="D41" s="22">
        <f>26000+13000+1000+14500+13000+1000+1000+13000+1000+1000+13000+45000+13000+13000+1000+1000+13000+1000+13000+1000+25500+183000</f>
        <v>407000</v>
      </c>
    </row>
    <row r="42" spans="1:3" ht="20.25" thickBot="1">
      <c r="A42" s="145" t="s">
        <v>3</v>
      </c>
      <c r="B42" s="146"/>
      <c r="C42" s="31">
        <f>SUM(C36:C41)</f>
        <v>8438000</v>
      </c>
    </row>
    <row r="43" spans="1:3" s="102" customFormat="1" ht="20.25" thickTop="1">
      <c r="A43" s="99" t="s">
        <v>89</v>
      </c>
      <c r="B43" s="101" t="s">
        <v>183</v>
      </c>
      <c r="C43" s="40"/>
    </row>
    <row r="44" spans="1:3" ht="19.5">
      <c r="A44" s="27" t="s">
        <v>127</v>
      </c>
      <c r="B44" s="34" t="s">
        <v>88</v>
      </c>
      <c r="C44" s="30">
        <v>9800</v>
      </c>
    </row>
    <row r="45" spans="1:5" ht="21">
      <c r="A45" s="27" t="s">
        <v>128</v>
      </c>
      <c r="B45" s="34" t="s">
        <v>90</v>
      </c>
      <c r="C45" s="12">
        <f>90792.24+106198.4+312650.8+192696+54023.97+356490.68+192152.5+142401.35</f>
        <v>1447405.94</v>
      </c>
      <c r="E45" s="36"/>
    </row>
    <row r="46" spans="1:3" ht="19.5">
      <c r="A46" s="27" t="s">
        <v>129</v>
      </c>
      <c r="B46" s="34" t="s">
        <v>91</v>
      </c>
      <c r="C46" s="37">
        <v>300000</v>
      </c>
    </row>
    <row r="47" spans="1:3" ht="20.25" thickBot="1">
      <c r="A47" s="145" t="s">
        <v>3</v>
      </c>
      <c r="B47" s="146"/>
      <c r="C47" s="31">
        <f>SUM(C44:C46)</f>
        <v>1757205.94</v>
      </c>
    </row>
    <row r="48" spans="1:3" s="102" customFormat="1" ht="20.25" thickTop="1">
      <c r="A48" s="99" t="s">
        <v>92</v>
      </c>
      <c r="B48" s="103" t="s">
        <v>93</v>
      </c>
      <c r="C48" s="40"/>
    </row>
    <row r="49" spans="1:3" ht="19.5">
      <c r="A49" s="28">
        <v>7.1</v>
      </c>
      <c r="B49" s="38" t="s">
        <v>103</v>
      </c>
      <c r="C49" s="30">
        <v>25000</v>
      </c>
    </row>
    <row r="50" spans="1:3" ht="19.5">
      <c r="A50" s="147" t="s">
        <v>3</v>
      </c>
      <c r="B50" s="148"/>
      <c r="C50" s="95">
        <f>SUM(C49)</f>
        <v>25000</v>
      </c>
    </row>
    <row r="51" spans="1:3" s="102" customFormat="1" ht="19.5">
      <c r="A51" s="105" t="s">
        <v>94</v>
      </c>
      <c r="B51" s="101" t="s">
        <v>96</v>
      </c>
      <c r="C51" s="40"/>
    </row>
    <row r="52" spans="1:3" s="102" customFormat="1" ht="19.5">
      <c r="A52" s="106">
        <v>8.1</v>
      </c>
      <c r="B52" s="104" t="s">
        <v>230</v>
      </c>
      <c r="C52" s="24">
        <f>6564+26000+176249+4800</f>
        <v>213613</v>
      </c>
    </row>
    <row r="53" spans="1:3" ht="19.5">
      <c r="A53" s="25"/>
      <c r="B53" s="66" t="s">
        <v>231</v>
      </c>
      <c r="C53" s="26"/>
    </row>
    <row r="54" spans="1:3" ht="20.25" thickBot="1">
      <c r="A54" s="145" t="s">
        <v>3</v>
      </c>
      <c r="B54" s="146"/>
      <c r="C54" s="31">
        <f>SUM(C52:C53)</f>
        <v>213613</v>
      </c>
    </row>
    <row r="55" spans="1:3" ht="20.25" thickTop="1">
      <c r="A55" s="99" t="s">
        <v>95</v>
      </c>
      <c r="B55" s="101" t="s">
        <v>97</v>
      </c>
      <c r="C55" s="30"/>
    </row>
    <row r="56" spans="1:3" ht="19.5">
      <c r="A56" s="39">
        <v>9.1</v>
      </c>
      <c r="B56" s="23" t="s">
        <v>104</v>
      </c>
      <c r="C56" s="24">
        <v>0</v>
      </c>
    </row>
    <row r="57" spans="1:3" ht="19.5">
      <c r="A57" s="149" t="s">
        <v>3</v>
      </c>
      <c r="B57" s="150"/>
      <c r="C57" s="40">
        <f>SUM(C56)</f>
        <v>0</v>
      </c>
    </row>
    <row r="58" spans="1:3" ht="22.5" customHeight="1" thickBot="1">
      <c r="A58" s="141" t="s">
        <v>4</v>
      </c>
      <c r="B58" s="142"/>
      <c r="C58" s="41">
        <f>+C11+C15+C29+C34+C42+C47+C50+C54+C57</f>
        <v>13446830.94</v>
      </c>
    </row>
    <row r="59" ht="20.25" thickTop="1"/>
  </sheetData>
  <sheetProtection/>
  <mergeCells count="12">
    <mergeCell ref="A1:C1"/>
    <mergeCell ref="A3:B3"/>
    <mergeCell ref="A58:B58"/>
    <mergeCell ref="A11:B11"/>
    <mergeCell ref="A15:B15"/>
    <mergeCell ref="A29:B29"/>
    <mergeCell ref="A34:B34"/>
    <mergeCell ref="A42:B42"/>
    <mergeCell ref="A47:B47"/>
    <mergeCell ref="A50:B50"/>
    <mergeCell ref="A57:B57"/>
    <mergeCell ref="A54:B54"/>
  </mergeCells>
  <printOptions/>
  <pageMargins left="0.6692913385826772" right="0.2362204724409449" top="0.5511811023622047" bottom="0.4724409448818898" header="0.2755905511811024" footer="0.11811023622047245"/>
  <pageSetup firstPageNumber="3" useFirstPageNumber="1" horizontalDpi="600" verticalDpi="600" orientation="portrait" paperSize="9" r:id="rId3"/>
  <headerFooter alignWithMargins="0">
    <oddHeader>&amp;C&amp;"TH SarabunPSK,ธรรมดา"&amp;16&amp;P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00390625" style="3" bestFit="1" customWidth="1"/>
    <col min="2" max="2" width="68.00390625" style="3" customWidth="1"/>
    <col min="3" max="3" width="14.7109375" style="48" customWidth="1"/>
    <col min="4" max="16384" width="9.140625" style="3" customWidth="1"/>
  </cols>
  <sheetData>
    <row r="1" spans="1:3" s="49" customFormat="1" ht="23.25">
      <c r="A1" s="134" t="s">
        <v>227</v>
      </c>
      <c r="B1" s="134"/>
      <c r="C1" s="134"/>
    </row>
    <row r="2" spans="1:3" s="49" customFormat="1" ht="23.25">
      <c r="A2" s="4"/>
      <c r="B2" s="4"/>
      <c r="C2" s="4"/>
    </row>
    <row r="3" spans="1:3" s="6" customFormat="1" ht="21">
      <c r="A3" s="137" t="s">
        <v>1</v>
      </c>
      <c r="B3" s="138"/>
      <c r="C3" s="5" t="s">
        <v>2</v>
      </c>
    </row>
    <row r="4" spans="1:3" s="107" customFormat="1" ht="21">
      <c r="A4" s="89" t="s">
        <v>50</v>
      </c>
      <c r="B4" s="90" t="s">
        <v>6</v>
      </c>
      <c r="C4" s="5"/>
    </row>
    <row r="5" spans="1:3" ht="23.25" customHeight="1">
      <c r="A5" s="15">
        <v>1.1</v>
      </c>
      <c r="B5" s="28" t="s">
        <v>131</v>
      </c>
      <c r="C5" s="44"/>
    </row>
    <row r="6" spans="1:3" ht="21">
      <c r="A6" s="15"/>
      <c r="B6" s="13" t="s">
        <v>274</v>
      </c>
      <c r="C6" s="12">
        <v>7385</v>
      </c>
    </row>
    <row r="7" spans="1:3" ht="21">
      <c r="A7" s="15"/>
      <c r="B7" s="13" t="s">
        <v>275</v>
      </c>
      <c r="C7" s="12">
        <v>50000</v>
      </c>
    </row>
    <row r="8" spans="1:3" ht="21">
      <c r="A8" s="15">
        <v>2</v>
      </c>
      <c r="B8" s="13" t="s">
        <v>130</v>
      </c>
      <c r="C8" s="12">
        <v>50000</v>
      </c>
    </row>
    <row r="9" spans="1:3" ht="20.25" thickBot="1">
      <c r="A9" s="145" t="s">
        <v>3</v>
      </c>
      <c r="B9" s="155"/>
      <c r="C9" s="45">
        <f>SUM(C6:C8)</f>
        <v>107385</v>
      </c>
    </row>
    <row r="10" spans="1:3" s="22" customFormat="1" ht="20.25" thickTop="1">
      <c r="A10" s="99" t="s">
        <v>110</v>
      </c>
      <c r="B10" s="101" t="s">
        <v>47</v>
      </c>
      <c r="C10" s="44"/>
    </row>
    <row r="11" spans="1:3" s="22" customFormat="1" ht="19.5">
      <c r="A11" s="28">
        <v>2.1</v>
      </c>
      <c r="B11" s="28" t="s">
        <v>132</v>
      </c>
      <c r="C11" s="46" t="s">
        <v>12</v>
      </c>
    </row>
    <row r="12" spans="1:3" s="22" customFormat="1" ht="19.5">
      <c r="A12" s="149" t="s">
        <v>3</v>
      </c>
      <c r="B12" s="154"/>
      <c r="C12" s="47">
        <f>SUM(C11:C11)</f>
        <v>0</v>
      </c>
    </row>
    <row r="13" spans="1:3" ht="20.25" thickBot="1">
      <c r="A13" s="152" t="s">
        <v>4</v>
      </c>
      <c r="B13" s="153"/>
      <c r="C13" s="41">
        <f>+C9+C12</f>
        <v>107385</v>
      </c>
    </row>
    <row r="14" ht="14.25" thickTop="1"/>
  </sheetData>
  <sheetProtection/>
  <mergeCells count="5">
    <mergeCell ref="A13:B13"/>
    <mergeCell ref="A1:C1"/>
    <mergeCell ref="A3:B3"/>
    <mergeCell ref="A12:B12"/>
    <mergeCell ref="A9:B9"/>
  </mergeCells>
  <printOptions/>
  <pageMargins left="0.7480314960629921" right="0.7480314960629921" top="0.984251968503937" bottom="0.984251968503937" header="0.5118110236220472" footer="0.5118110236220472"/>
  <pageSetup firstPageNumber="5" useFirstPageNumber="1" horizontalDpi="600" verticalDpi="600" orientation="portrait" paperSize="9" r:id="rId1"/>
  <headerFooter alignWithMargins="0">
    <oddHeader>&amp;C&amp;"TH SarabunPSK,ธรรมดา"&amp;16&amp;P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5.00390625" style="6" bestFit="1" customWidth="1"/>
    <col min="2" max="2" width="74.140625" style="3" bestFit="1" customWidth="1"/>
    <col min="3" max="3" width="15.28125" style="48" bestFit="1" customWidth="1"/>
    <col min="4" max="5" width="12.421875" style="22" hidden="1" customWidth="1"/>
    <col min="6" max="6" width="11.00390625" style="22" hidden="1" customWidth="1"/>
    <col min="7" max="7" width="0" style="3" hidden="1" customWidth="1"/>
    <col min="8" max="8" width="9.421875" style="3" hidden="1" customWidth="1"/>
    <col min="9" max="11" width="0" style="3" hidden="1" customWidth="1"/>
    <col min="12" max="12" width="12.421875" style="3" hidden="1" customWidth="1"/>
    <col min="13" max="13" width="0" style="3" hidden="1" customWidth="1"/>
    <col min="14" max="16384" width="9.140625" style="3" customWidth="1"/>
  </cols>
  <sheetData>
    <row r="1" spans="1:3" ht="23.25">
      <c r="A1" s="151" t="s">
        <v>20</v>
      </c>
      <c r="B1" s="151"/>
      <c r="C1" s="151"/>
    </row>
    <row r="2" spans="1:3" ht="21" customHeight="1">
      <c r="A2" s="43"/>
      <c r="B2" s="43"/>
      <c r="C2" s="43"/>
    </row>
    <row r="3" spans="1:6" s="6" customFormat="1" ht="21">
      <c r="A3" s="157" t="s">
        <v>1</v>
      </c>
      <c r="B3" s="157"/>
      <c r="C3" s="5" t="s">
        <v>2</v>
      </c>
      <c r="D3" s="22"/>
      <c r="E3" s="22"/>
      <c r="F3" s="22"/>
    </row>
    <row r="4" spans="1:6" s="6" customFormat="1" ht="21">
      <c r="A4" s="108" t="s">
        <v>50</v>
      </c>
      <c r="B4" s="109" t="s">
        <v>145</v>
      </c>
      <c r="C4" s="51"/>
      <c r="D4" s="22"/>
      <c r="E4" s="22"/>
      <c r="F4" s="22"/>
    </row>
    <row r="5" spans="1:6" s="6" customFormat="1" ht="21">
      <c r="A5" s="110"/>
      <c r="B5" s="96" t="s">
        <v>7</v>
      </c>
      <c r="C5" s="53"/>
      <c r="D5" s="22"/>
      <c r="E5" s="22"/>
      <c r="F5" s="22"/>
    </row>
    <row r="6" spans="1:3" s="22" customFormat="1" ht="21">
      <c r="A6" s="18" t="s">
        <v>51</v>
      </c>
      <c r="B6" s="28" t="s">
        <v>146</v>
      </c>
      <c r="C6" s="44">
        <f>3350+8000+1380+960+9450</f>
        <v>23140</v>
      </c>
    </row>
    <row r="7" spans="1:3" s="22" customFormat="1" ht="21">
      <c r="A7" s="54" t="s">
        <v>52</v>
      </c>
      <c r="B7" s="39" t="s">
        <v>147</v>
      </c>
      <c r="C7" s="55">
        <f>12000+2500+28500+500+2400</f>
        <v>45900</v>
      </c>
    </row>
    <row r="8" spans="1:3" s="22" customFormat="1" ht="21.75" thickBot="1">
      <c r="A8" s="135" t="s">
        <v>3</v>
      </c>
      <c r="B8" s="156"/>
      <c r="C8" s="45">
        <f>SUM(C6:C7)</f>
        <v>69040</v>
      </c>
    </row>
    <row r="9" spans="1:3" s="22" customFormat="1" ht="21.75" thickTop="1">
      <c r="A9" s="111" t="s">
        <v>110</v>
      </c>
      <c r="B9" s="109" t="s">
        <v>148</v>
      </c>
      <c r="C9" s="33"/>
    </row>
    <row r="10" spans="1:3" s="22" customFormat="1" ht="21">
      <c r="A10" s="18" t="s">
        <v>111</v>
      </c>
      <c r="B10" s="29" t="s">
        <v>149</v>
      </c>
      <c r="C10" s="44">
        <f>25400+76500+30000+25400+76950+25400</f>
        <v>259650</v>
      </c>
    </row>
    <row r="11" spans="1:3" s="22" customFormat="1" ht="21">
      <c r="A11" s="56" t="s">
        <v>109</v>
      </c>
      <c r="B11" s="126" t="s">
        <v>234</v>
      </c>
      <c r="C11" s="55">
        <f>6840+9940+11100+4150+14460</f>
        <v>46490</v>
      </c>
    </row>
    <row r="12" spans="1:3" s="22" customFormat="1" ht="21">
      <c r="A12" s="90">
        <v>2.3</v>
      </c>
      <c r="B12" s="100" t="s">
        <v>221</v>
      </c>
      <c r="C12" s="44"/>
    </row>
    <row r="13" spans="1:11" s="22" customFormat="1" ht="21">
      <c r="A13" s="58"/>
      <c r="B13" s="29" t="s">
        <v>233</v>
      </c>
      <c r="C13" s="44">
        <v>4133632</v>
      </c>
      <c r="D13" s="22">
        <f>1700000+65000-1526</f>
        <v>1763474</v>
      </c>
      <c r="E13" s="22">
        <f>1500000-150000-51540</f>
        <v>1298460</v>
      </c>
      <c r="F13" s="22">
        <f>883080-99000-14527</f>
        <v>769553</v>
      </c>
      <c r="G13" s="22">
        <f>150000-30320</f>
        <v>119680</v>
      </c>
      <c r="H13" s="22">
        <f>72000-16737</f>
        <v>55263</v>
      </c>
      <c r="I13" s="22">
        <f>58000+90000-62798</f>
        <v>85202</v>
      </c>
      <c r="J13" s="22">
        <v>42000</v>
      </c>
      <c r="K13" s="22">
        <f>SUM(D13:J13)</f>
        <v>4133632</v>
      </c>
    </row>
    <row r="14" spans="1:13" s="22" customFormat="1" ht="21">
      <c r="A14" s="59"/>
      <c r="B14" s="28" t="s">
        <v>220</v>
      </c>
      <c r="C14" s="44">
        <v>4155390</v>
      </c>
      <c r="D14" s="36">
        <f>111780+35820</f>
        <v>147600</v>
      </c>
      <c r="E14" s="36">
        <f>370080-21570</f>
        <v>348510</v>
      </c>
      <c r="F14" s="36">
        <f>130000-8380</f>
        <v>121620</v>
      </c>
      <c r="G14" s="22">
        <f>1384000-132340</f>
        <v>1251660</v>
      </c>
      <c r="H14" s="22">
        <f>530000-85960</f>
        <v>444040</v>
      </c>
      <c r="I14" s="22">
        <f>1070000+10000-1840</f>
        <v>1078160</v>
      </c>
      <c r="J14" s="22">
        <f>400000-92740</f>
        <v>307260</v>
      </c>
      <c r="K14" s="22">
        <f>SUM(D15:I15)</f>
        <v>802080</v>
      </c>
      <c r="L14" s="35">
        <f>SUM(D14:K14)</f>
        <v>4500930</v>
      </c>
      <c r="M14" s="22">
        <v>4133632</v>
      </c>
    </row>
    <row r="15" spans="1:12" s="22" customFormat="1" ht="21">
      <c r="A15" s="59"/>
      <c r="B15" s="29" t="s">
        <v>215</v>
      </c>
      <c r="C15" s="44">
        <v>401040</v>
      </c>
      <c r="D15" s="22">
        <f>1600+1200+3360</f>
        <v>6160</v>
      </c>
      <c r="E15" s="22">
        <f>450000-55120</f>
        <v>394880</v>
      </c>
      <c r="F15" s="22">
        <f>+E15+D15</f>
        <v>401040</v>
      </c>
      <c r="L15" s="35">
        <f>+L14+M14</f>
        <v>8634562</v>
      </c>
    </row>
    <row r="16" spans="1:6" s="22" customFormat="1" ht="21">
      <c r="A16" s="59"/>
      <c r="B16" s="29" t="s">
        <v>216</v>
      </c>
      <c r="C16" s="44">
        <f>SUM(D16:F16)</f>
        <v>229900</v>
      </c>
      <c r="D16" s="22">
        <f>90000-800</f>
        <v>89200</v>
      </c>
      <c r="E16" s="22">
        <f>81500-200</f>
        <v>81300</v>
      </c>
      <c r="F16" s="22">
        <f>60000-600</f>
        <v>59400</v>
      </c>
    </row>
    <row r="17" spans="1:7" s="22" customFormat="1" ht="21">
      <c r="A17" s="59"/>
      <c r="B17" s="29" t="s">
        <v>217</v>
      </c>
      <c r="C17" s="44">
        <f>SUM(D17:F17)</f>
        <v>358848</v>
      </c>
      <c r="D17" s="22">
        <f>100000-42893</f>
        <v>57107</v>
      </c>
      <c r="E17" s="22">
        <f>100000+200000-54431</f>
        <v>245569</v>
      </c>
      <c r="F17" s="22">
        <f>100000-43828</f>
        <v>56172</v>
      </c>
      <c r="G17" s="22">
        <f>SUM(D17:F17)</f>
        <v>358848</v>
      </c>
    </row>
    <row r="18" spans="1:6" s="22" customFormat="1" ht="21">
      <c r="A18" s="59"/>
      <c r="B18" s="29" t="s">
        <v>218</v>
      </c>
      <c r="C18" s="44">
        <f>SUM(D18:F18)</f>
        <v>45580</v>
      </c>
      <c r="D18" s="22">
        <f>18500-11926</f>
        <v>6574</v>
      </c>
      <c r="E18" s="22">
        <f>35000-11580</f>
        <v>23420</v>
      </c>
      <c r="F18" s="22">
        <f>30000-14414</f>
        <v>15586</v>
      </c>
    </row>
    <row r="19" spans="1:3" s="22" customFormat="1" ht="21">
      <c r="A19" s="59"/>
      <c r="B19" s="57" t="s">
        <v>219</v>
      </c>
      <c r="C19" s="55">
        <f>206935.4+423321.83+996794.92</f>
        <v>1627052.15</v>
      </c>
    </row>
    <row r="20" spans="1:8" s="22" customFormat="1" ht="21">
      <c r="A20" s="52"/>
      <c r="B20" s="29" t="s">
        <v>222</v>
      </c>
      <c r="C20" s="44">
        <v>414443.1</v>
      </c>
      <c r="D20" s="22">
        <f>350000-93600-27096.93</f>
        <v>229303.07</v>
      </c>
      <c r="E20" s="22">
        <f>60000-7945.65</f>
        <v>52054.35</v>
      </c>
      <c r="F20" s="22">
        <f>48000-27985.04</f>
        <v>20014.96</v>
      </c>
      <c r="G20" s="22">
        <f>140000-26929.28</f>
        <v>113070.72</v>
      </c>
      <c r="H20" s="131">
        <f>SUM(D20:G20)</f>
        <v>414443.1</v>
      </c>
    </row>
    <row r="21" spans="1:3" s="22" customFormat="1" ht="21.75" thickBot="1">
      <c r="A21" s="135" t="s">
        <v>3</v>
      </c>
      <c r="B21" s="156"/>
      <c r="C21" s="45">
        <f>SUM(C9:C20)</f>
        <v>11672025.25</v>
      </c>
    </row>
    <row r="22" spans="1:3" s="22" customFormat="1" ht="21.75" thickTop="1">
      <c r="A22" s="112" t="s">
        <v>112</v>
      </c>
      <c r="B22" s="113" t="s">
        <v>150</v>
      </c>
      <c r="C22" s="55"/>
    </row>
    <row r="23" spans="1:3" s="22" customFormat="1" ht="21">
      <c r="A23" s="61"/>
      <c r="B23" s="132" t="s">
        <v>8</v>
      </c>
      <c r="C23" s="62"/>
    </row>
    <row r="24" spans="1:4" ht="21">
      <c r="A24" s="18" t="s">
        <v>133</v>
      </c>
      <c r="B24" s="29" t="s">
        <v>151</v>
      </c>
      <c r="C24" s="44">
        <v>4350</v>
      </c>
      <c r="D24" s="22">
        <f>1850+2500</f>
        <v>4350</v>
      </c>
    </row>
    <row r="25" spans="1:3" ht="21.75" thickBot="1">
      <c r="A25" s="135" t="s">
        <v>3</v>
      </c>
      <c r="B25" s="156"/>
      <c r="C25" s="45">
        <f>SUM(C24)</f>
        <v>4350</v>
      </c>
    </row>
    <row r="26" spans="1:3" ht="21.75" thickTop="1">
      <c r="A26" s="112" t="s">
        <v>87</v>
      </c>
      <c r="B26" s="113" t="s">
        <v>152</v>
      </c>
      <c r="C26" s="63" t="s">
        <v>24</v>
      </c>
    </row>
    <row r="27" spans="1:3" ht="21">
      <c r="A27" s="52"/>
      <c r="B27" s="113" t="s">
        <v>9</v>
      </c>
      <c r="C27" s="64"/>
    </row>
    <row r="28" spans="1:3" s="22" customFormat="1" ht="21">
      <c r="A28" s="54" t="s">
        <v>124</v>
      </c>
      <c r="B28" s="28" t="s">
        <v>153</v>
      </c>
      <c r="C28" s="44">
        <f>150000-3900</f>
        <v>146100</v>
      </c>
    </row>
    <row r="29" spans="1:3" s="22" customFormat="1" ht="21.75" thickBot="1">
      <c r="A29" s="135" t="s">
        <v>3</v>
      </c>
      <c r="B29" s="156"/>
      <c r="C29" s="45">
        <f>SUM(C28)</f>
        <v>146100</v>
      </c>
    </row>
    <row r="30" spans="1:3" ht="21.75" thickTop="1">
      <c r="A30" s="114" t="s">
        <v>86</v>
      </c>
      <c r="B30" s="124" t="s">
        <v>154</v>
      </c>
      <c r="C30" s="125"/>
    </row>
    <row r="31" spans="1:3" ht="21">
      <c r="A31" s="54" t="s">
        <v>139</v>
      </c>
      <c r="B31" s="39" t="s">
        <v>155</v>
      </c>
      <c r="C31" s="55"/>
    </row>
    <row r="32" spans="1:5" ht="21">
      <c r="A32" s="61"/>
      <c r="B32" s="50" t="s">
        <v>25</v>
      </c>
      <c r="C32" s="62">
        <f>SUM(D32:F32)</f>
        <v>115457</v>
      </c>
      <c r="D32" s="36">
        <f>100000-20525</f>
        <v>79475</v>
      </c>
      <c r="E32" s="36">
        <f>100000-64018</f>
        <v>35982</v>
      </c>
    </row>
    <row r="33" spans="1:6" ht="21">
      <c r="A33" s="61"/>
      <c r="B33" s="50" t="s">
        <v>26</v>
      </c>
      <c r="C33" s="62">
        <f>SUM(D33:F33)</f>
        <v>167910</v>
      </c>
      <c r="D33" s="62">
        <f>50000-140</f>
        <v>49860</v>
      </c>
      <c r="E33" s="36">
        <f>30000-6800</f>
        <v>23200</v>
      </c>
      <c r="F33" s="22">
        <f>100000-5150</f>
        <v>94850</v>
      </c>
    </row>
    <row r="34" spans="1:3" ht="21">
      <c r="A34" s="61"/>
      <c r="B34" s="50" t="s">
        <v>27</v>
      </c>
      <c r="C34" s="62">
        <v>0</v>
      </c>
    </row>
    <row r="35" spans="1:3" ht="21">
      <c r="A35" s="61"/>
      <c r="B35" s="50" t="s">
        <v>28</v>
      </c>
      <c r="C35" s="62">
        <f>900000+100000+65000+200000-30639.63</f>
        <v>1234360.37</v>
      </c>
    </row>
    <row r="36" spans="1:3" ht="21">
      <c r="A36" s="61"/>
      <c r="B36" s="50" t="s">
        <v>29</v>
      </c>
      <c r="C36" s="62">
        <f>30000-25926</f>
        <v>4074</v>
      </c>
    </row>
    <row r="37" spans="1:3" ht="21">
      <c r="A37" s="65"/>
      <c r="B37" s="66" t="s">
        <v>30</v>
      </c>
      <c r="C37" s="133">
        <f>1142+444</f>
        <v>1586</v>
      </c>
    </row>
    <row r="38" spans="1:6" ht="21">
      <c r="A38" s="61"/>
      <c r="B38" s="50" t="s">
        <v>33</v>
      </c>
      <c r="C38" s="62">
        <f>600+4315+4080+605+2000+6150+43230+30700+56120+11703+2430+31740+55380</f>
        <v>249053</v>
      </c>
      <c r="D38" s="62">
        <f>500000-98524</f>
        <v>401476</v>
      </c>
      <c r="E38" s="36">
        <f>700000-50000-100000-24744.62</f>
        <v>525255.38</v>
      </c>
      <c r="F38" s="22">
        <v>8560</v>
      </c>
    </row>
    <row r="39" spans="1:3" ht="21">
      <c r="A39" s="61"/>
      <c r="B39" s="50" t="s">
        <v>31</v>
      </c>
      <c r="C39" s="62">
        <f>90000-28255</f>
        <v>61745</v>
      </c>
    </row>
    <row r="40" spans="1:3" ht="21">
      <c r="A40" s="61">
        <v>5.2</v>
      </c>
      <c r="B40" s="50" t="s">
        <v>156</v>
      </c>
      <c r="C40" s="62">
        <v>25000</v>
      </c>
    </row>
    <row r="41" spans="1:3" ht="21.75" thickBot="1">
      <c r="A41" s="135" t="s">
        <v>3</v>
      </c>
      <c r="B41" s="156"/>
      <c r="C41" s="45">
        <f>SUM(C31:C40)</f>
        <v>1859185.37</v>
      </c>
    </row>
    <row r="42" spans="1:3" ht="21.75" thickTop="1">
      <c r="A42" s="114" t="s">
        <v>89</v>
      </c>
      <c r="B42" s="101" t="s">
        <v>160</v>
      </c>
      <c r="C42" s="68"/>
    </row>
    <row r="43" spans="1:3" ht="21">
      <c r="A43" s="54" t="s">
        <v>127</v>
      </c>
      <c r="B43" s="28" t="s">
        <v>157</v>
      </c>
      <c r="C43" s="44">
        <v>2400</v>
      </c>
    </row>
    <row r="44" spans="1:4" ht="21">
      <c r="A44" s="54" t="s">
        <v>128</v>
      </c>
      <c r="B44" s="28" t="s">
        <v>158</v>
      </c>
      <c r="C44" s="44">
        <f>17400+16000+13910+17794</f>
        <v>65104</v>
      </c>
      <c r="D44" s="35"/>
    </row>
    <row r="45" spans="1:4" ht="21">
      <c r="A45" s="54" t="s">
        <v>129</v>
      </c>
      <c r="B45" s="50" t="s">
        <v>171</v>
      </c>
      <c r="C45" s="44">
        <f>1000000-295642</f>
        <v>704358</v>
      </c>
      <c r="D45" s="35"/>
    </row>
    <row r="46" spans="1:4" ht="21.75" thickBot="1">
      <c r="A46" s="135" t="s">
        <v>3</v>
      </c>
      <c r="B46" s="156"/>
      <c r="C46" s="45">
        <f>SUM(C43:C45)</f>
        <v>771862</v>
      </c>
      <c r="D46" s="35"/>
    </row>
    <row r="47" spans="1:3" ht="21.75" thickTop="1">
      <c r="A47" s="114" t="s">
        <v>92</v>
      </c>
      <c r="B47" s="109" t="s">
        <v>159</v>
      </c>
      <c r="C47" s="44"/>
    </row>
    <row r="48" spans="1:6" ht="21">
      <c r="A48" s="54">
        <v>7.1</v>
      </c>
      <c r="B48" s="69" t="s">
        <v>161</v>
      </c>
      <c r="C48" s="44">
        <f>+D48+E48+F48</f>
        <v>300535.06000000006</v>
      </c>
      <c r="D48" s="3">
        <f>60000-9105</f>
        <v>50895</v>
      </c>
      <c r="E48" s="3">
        <f>900000-719159.94</f>
        <v>180840.06000000006</v>
      </c>
      <c r="F48" s="3">
        <f>450000-381200</f>
        <v>68800</v>
      </c>
    </row>
    <row r="49" spans="1:6" ht="21.75" thickBot="1">
      <c r="A49" s="135" t="s">
        <v>3</v>
      </c>
      <c r="B49" s="156"/>
      <c r="C49" s="45">
        <f>SUM(C48:C48)</f>
        <v>300535.06000000006</v>
      </c>
      <c r="D49" s="3"/>
      <c r="E49" s="3"/>
      <c r="F49" s="3"/>
    </row>
    <row r="50" spans="1:3" ht="21.75" thickTop="1">
      <c r="A50" s="114" t="s">
        <v>94</v>
      </c>
      <c r="B50" s="109" t="s">
        <v>162</v>
      </c>
      <c r="C50" s="44"/>
    </row>
    <row r="51" spans="1:3" ht="21">
      <c r="A51" s="18" t="s">
        <v>140</v>
      </c>
      <c r="B51" s="28" t="s">
        <v>268</v>
      </c>
      <c r="C51" s="44">
        <f>3600+38900</f>
        <v>42500</v>
      </c>
    </row>
    <row r="52" spans="1:3" ht="21">
      <c r="A52" s="54" t="s">
        <v>141</v>
      </c>
      <c r="B52" s="28" t="s">
        <v>163</v>
      </c>
      <c r="C52" s="70"/>
    </row>
    <row r="53" spans="1:3" ht="21">
      <c r="A53" s="61"/>
      <c r="B53" s="50" t="s">
        <v>21</v>
      </c>
      <c r="C53" s="55">
        <f>300000-91799+150000+6800+750+13200-32840</f>
        <v>346111</v>
      </c>
    </row>
    <row r="54" spans="1:3" ht="21">
      <c r="A54" s="61"/>
      <c r="B54" s="50" t="s">
        <v>22</v>
      </c>
      <c r="C54" s="55">
        <f>2200+2000+1220+1180</f>
        <v>6600</v>
      </c>
    </row>
    <row r="55" spans="1:3" ht="21">
      <c r="A55" s="61"/>
      <c r="B55" s="50" t="s">
        <v>23</v>
      </c>
      <c r="C55" s="55">
        <f>100000-60375</f>
        <v>39625</v>
      </c>
    </row>
    <row r="56" spans="1:3" ht="21">
      <c r="A56" s="65">
        <v>8.3</v>
      </c>
      <c r="B56" s="66" t="s">
        <v>223</v>
      </c>
      <c r="C56" s="62">
        <f>300000-17000</f>
        <v>283000</v>
      </c>
    </row>
    <row r="57" spans="1:3" ht="21.75" thickBot="1">
      <c r="A57" s="135" t="s">
        <v>3</v>
      </c>
      <c r="B57" s="156"/>
      <c r="C57" s="45">
        <f>SUM(C51:C56)</f>
        <v>717836</v>
      </c>
    </row>
    <row r="58" spans="1:6" ht="21.75" thickTop="1">
      <c r="A58" s="112" t="s">
        <v>95</v>
      </c>
      <c r="B58" s="109" t="s">
        <v>164</v>
      </c>
      <c r="C58" s="55"/>
      <c r="E58" s="22">
        <f>2000+2000+14100+7000+11000+400+24000+24000</f>
        <v>84500</v>
      </c>
      <c r="F58" s="22">
        <f>10868+10728+480+11730+29168+2695+9000+7920</f>
        <v>82589</v>
      </c>
    </row>
    <row r="59" spans="1:6" ht="21">
      <c r="A59" s="110"/>
      <c r="B59" s="109" t="s">
        <v>10</v>
      </c>
      <c r="C59" s="33"/>
      <c r="E59" s="22">
        <f>120400-60500</f>
        <v>59900</v>
      </c>
      <c r="F59" s="22">
        <f>120000+100000-82589</f>
        <v>137411</v>
      </c>
    </row>
    <row r="60" spans="1:6" ht="21">
      <c r="A60" s="18" t="s">
        <v>142</v>
      </c>
      <c r="B60" s="28" t="s">
        <v>165</v>
      </c>
      <c r="C60" s="44">
        <f>140000-26929.28</f>
        <v>113070.72</v>
      </c>
      <c r="E60" s="22">
        <f>60000-17300</f>
        <v>42700</v>
      </c>
      <c r="F60" s="22">
        <f>70000-32180.98</f>
        <v>37819.020000000004</v>
      </c>
    </row>
    <row r="61" spans="1:6" ht="21">
      <c r="A61" s="54" t="s">
        <v>143</v>
      </c>
      <c r="B61" s="28" t="s">
        <v>166</v>
      </c>
      <c r="C61" s="46">
        <v>44500</v>
      </c>
      <c r="E61" s="22">
        <f>6500+7000+2500</f>
        <v>16000</v>
      </c>
      <c r="F61" s="36">
        <f>100000-70160</f>
        <v>29840</v>
      </c>
    </row>
    <row r="62" spans="1:6" ht="21.75" thickBot="1">
      <c r="A62" s="135" t="s">
        <v>3</v>
      </c>
      <c r="B62" s="156"/>
      <c r="C62" s="45">
        <f>SUM(C60:C61)</f>
        <v>157570.72</v>
      </c>
      <c r="F62" s="36"/>
    </row>
    <row r="63" spans="1:3" ht="21.75" thickTop="1">
      <c r="A63" s="114" t="s">
        <v>144</v>
      </c>
      <c r="B63" s="109" t="s">
        <v>167</v>
      </c>
      <c r="C63" s="68"/>
    </row>
    <row r="64" spans="1:5" ht="22.5" customHeight="1">
      <c r="A64" s="60">
        <v>10.1</v>
      </c>
      <c r="B64" s="39" t="s">
        <v>232</v>
      </c>
      <c r="C64" s="72" t="s">
        <v>12</v>
      </c>
      <c r="E64" s="73" t="s">
        <v>32</v>
      </c>
    </row>
    <row r="65" spans="1:3" ht="21.75" customHeight="1">
      <c r="A65" s="137" t="s">
        <v>3</v>
      </c>
      <c r="B65" s="138"/>
      <c r="C65" s="74" t="s">
        <v>12</v>
      </c>
    </row>
    <row r="66" spans="1:3" ht="21.75" customHeight="1" thickBot="1">
      <c r="A66" s="135" t="s">
        <v>4</v>
      </c>
      <c r="B66" s="136"/>
      <c r="C66" s="45">
        <f>+C8+C21+C25+C29+C41+C46+C49+C57+C62</f>
        <v>15698504.400000002</v>
      </c>
    </row>
    <row r="67" ht="21.75" thickTop="1"/>
    <row r="74" ht="21">
      <c r="E74" s="22" t="s">
        <v>24</v>
      </c>
    </row>
  </sheetData>
  <sheetProtection/>
  <mergeCells count="13">
    <mergeCell ref="A41:B41"/>
    <mergeCell ref="A3:B3"/>
    <mergeCell ref="A8:B8"/>
    <mergeCell ref="A21:B21"/>
    <mergeCell ref="A1:C1"/>
    <mergeCell ref="A25:B25"/>
    <mergeCell ref="A29:B29"/>
    <mergeCell ref="A66:B66"/>
    <mergeCell ref="A65:B65"/>
    <mergeCell ref="A49:B49"/>
    <mergeCell ref="A57:B57"/>
    <mergeCell ref="A62:B62"/>
    <mergeCell ref="A46:B46"/>
  </mergeCells>
  <printOptions horizontalCentered="1"/>
  <pageMargins left="0.5511811023622047" right="0.2755905511811024" top="0.6299212598425197" bottom="0.4724409448818898" header="0.2362204724409449" footer="0.2755905511811024"/>
  <pageSetup firstPageNumber="6" useFirstPageNumber="1" horizontalDpi="600" verticalDpi="600" orientation="portrait" paperSize="9" r:id="rId1"/>
  <headerFooter alignWithMargins="0">
    <oddHeader>&amp;C&amp;"TH SarabunPSK,ธรรมดา"&amp;16&amp;P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421875" style="6" customWidth="1"/>
    <col min="2" max="2" width="68.00390625" style="3" customWidth="1"/>
    <col min="3" max="3" width="15.421875" style="48" customWidth="1"/>
    <col min="4" max="4" width="11.28125" style="3" bestFit="1" customWidth="1"/>
    <col min="5" max="16384" width="9.140625" style="3" customWidth="1"/>
  </cols>
  <sheetData>
    <row r="1" spans="1:3" s="49" customFormat="1" ht="23.25">
      <c r="A1" s="134" t="s">
        <v>16</v>
      </c>
      <c r="B1" s="134"/>
      <c r="C1" s="134"/>
    </row>
    <row r="2" spans="2:3" s="49" customFormat="1" ht="23.25">
      <c r="B2" s="78"/>
      <c r="C2" s="78"/>
    </row>
    <row r="3" spans="1:3" s="6" customFormat="1" ht="21">
      <c r="A3" s="157" t="s">
        <v>1</v>
      </c>
      <c r="B3" s="157"/>
      <c r="C3" s="5" t="s">
        <v>2</v>
      </c>
    </row>
    <row r="4" spans="1:3" s="6" customFormat="1" ht="21">
      <c r="A4" s="115" t="s">
        <v>50</v>
      </c>
      <c r="B4" s="116" t="s">
        <v>172</v>
      </c>
      <c r="C4" s="51"/>
    </row>
    <row r="5" spans="1:3" s="6" customFormat="1" ht="21">
      <c r="A5" s="117"/>
      <c r="B5" s="118" t="s">
        <v>11</v>
      </c>
      <c r="C5" s="53"/>
    </row>
    <row r="6" spans="1:3" s="6" customFormat="1" ht="21">
      <c r="A6" s="18" t="s">
        <v>52</v>
      </c>
      <c r="B6" s="28" t="s">
        <v>173</v>
      </c>
      <c r="C6" s="51" t="s">
        <v>12</v>
      </c>
    </row>
    <row r="7" spans="1:3" s="6" customFormat="1" ht="21.75" thickBot="1">
      <c r="A7" s="145" t="s">
        <v>3</v>
      </c>
      <c r="B7" s="155"/>
      <c r="C7" s="45">
        <f>SUM(C6:C6)</f>
        <v>0</v>
      </c>
    </row>
    <row r="8" spans="1:3" s="6" customFormat="1" ht="21.75" thickTop="1">
      <c r="A8" s="119" t="s">
        <v>110</v>
      </c>
      <c r="B8" s="113" t="s">
        <v>174</v>
      </c>
      <c r="C8" s="75"/>
    </row>
    <row r="9" spans="1:4" s="6" customFormat="1" ht="21">
      <c r="A9" s="110"/>
      <c r="B9" s="98" t="s">
        <v>13</v>
      </c>
      <c r="C9" s="67"/>
      <c r="D9" s="22"/>
    </row>
    <row r="10" spans="1:4" s="6" customFormat="1" ht="21">
      <c r="A10" s="54">
        <v>2.1</v>
      </c>
      <c r="B10" s="76" t="s">
        <v>175</v>
      </c>
      <c r="C10" s="46" t="s">
        <v>12</v>
      </c>
      <c r="D10" s="22"/>
    </row>
    <row r="11" spans="1:4" s="6" customFormat="1" ht="21">
      <c r="A11" s="61"/>
      <c r="B11" s="14" t="s">
        <v>170</v>
      </c>
      <c r="C11" s="19" t="s">
        <v>12</v>
      </c>
      <c r="D11" s="22"/>
    </row>
    <row r="12" spans="1:4" s="6" customFormat="1" ht="21.75" thickBot="1">
      <c r="A12" s="147" t="s">
        <v>3</v>
      </c>
      <c r="B12" s="155"/>
      <c r="C12" s="45">
        <f>SUM(C9:C11)</f>
        <v>0</v>
      </c>
      <c r="D12" s="22"/>
    </row>
    <row r="13" spans="1:3" ht="21.75" thickTop="1">
      <c r="A13" s="89" t="s">
        <v>112</v>
      </c>
      <c r="B13" s="120" t="s">
        <v>176</v>
      </c>
      <c r="C13" s="46"/>
    </row>
    <row r="14" spans="1:4" ht="21">
      <c r="A14" s="18" t="s">
        <v>133</v>
      </c>
      <c r="B14" s="29" t="s">
        <v>269</v>
      </c>
      <c r="C14" s="44">
        <v>381000</v>
      </c>
      <c r="D14" s="22"/>
    </row>
    <row r="15" spans="1:4" ht="21">
      <c r="A15" s="54" t="s">
        <v>113</v>
      </c>
      <c r="B15" s="29" t="s">
        <v>177</v>
      </c>
      <c r="C15" s="12">
        <f>108000+54000+54000+54000+54000+54000+54000+54000+54000+54000+54000+54000+54000+54000+54000+54000+54000+54000+54000+54000+54000+54000</f>
        <v>1242000</v>
      </c>
      <c r="D15" s="22"/>
    </row>
    <row r="16" spans="1:4" ht="19.5">
      <c r="A16" s="149" t="s">
        <v>3</v>
      </c>
      <c r="B16" s="154"/>
      <c r="C16" s="47">
        <f>SUM(C14:C15)</f>
        <v>1623000</v>
      </c>
      <c r="D16" s="22"/>
    </row>
    <row r="17" spans="1:3" ht="23.25" customHeight="1">
      <c r="A17" s="149" t="s">
        <v>4</v>
      </c>
      <c r="B17" s="154"/>
      <c r="C17" s="47">
        <f>+C7+C12+C16</f>
        <v>1623000</v>
      </c>
    </row>
    <row r="18" spans="2:3" ht="21">
      <c r="B18" s="22"/>
      <c r="C18" s="36"/>
    </row>
  </sheetData>
  <sheetProtection/>
  <mergeCells count="6">
    <mergeCell ref="A1:C1"/>
    <mergeCell ref="A3:B3"/>
    <mergeCell ref="A17:B17"/>
    <mergeCell ref="A7:B7"/>
    <mergeCell ref="A12:B12"/>
    <mergeCell ref="A16:B16"/>
  </mergeCells>
  <printOptions/>
  <pageMargins left="0.7480314960629921" right="0.7480314960629921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&amp;C&amp;"TH SarabunPSK,ธรรมดา"&amp;16&amp;P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7">
      <selection activeCell="B27" sqref="B27"/>
    </sheetView>
  </sheetViews>
  <sheetFormatPr defaultColWidth="9.140625" defaultRowHeight="12.75"/>
  <cols>
    <col min="1" max="1" width="6.00390625" style="3" customWidth="1"/>
    <col min="2" max="2" width="70.421875" style="3" customWidth="1"/>
    <col min="3" max="3" width="15.140625" style="48" customWidth="1"/>
    <col min="4" max="16384" width="9.140625" style="3" customWidth="1"/>
  </cols>
  <sheetData>
    <row r="1" ht="13.5" hidden="1">
      <c r="B1" s="79"/>
    </row>
    <row r="2" ht="13.5" hidden="1">
      <c r="B2" s="79"/>
    </row>
    <row r="3" ht="13.5" hidden="1">
      <c r="B3" s="79"/>
    </row>
    <row r="4" ht="13.5" hidden="1"/>
    <row r="5" ht="13.5" hidden="1"/>
    <row r="6" ht="13.5" hidden="1"/>
    <row r="7" spans="1:3" ht="23.25">
      <c r="A7" s="134" t="s">
        <v>17</v>
      </c>
      <c r="B7" s="134"/>
      <c r="C7" s="134"/>
    </row>
    <row r="8" spans="1:3" ht="23.25">
      <c r="A8" s="1"/>
      <c r="B8" s="1"/>
      <c r="C8" s="1"/>
    </row>
    <row r="9" spans="1:3" s="6" customFormat="1" ht="21">
      <c r="A9" s="137" t="s">
        <v>1</v>
      </c>
      <c r="B9" s="138"/>
      <c r="C9" s="5" t="s">
        <v>2</v>
      </c>
    </row>
    <row r="10" spans="1:3" s="6" customFormat="1" ht="21">
      <c r="A10" s="108" t="s">
        <v>50</v>
      </c>
      <c r="B10" s="109" t="s">
        <v>213</v>
      </c>
      <c r="C10" s="75"/>
    </row>
    <row r="11" spans="1:3" s="6" customFormat="1" ht="21">
      <c r="A11" s="110"/>
      <c r="B11" s="121" t="s">
        <v>14</v>
      </c>
      <c r="C11" s="53"/>
    </row>
    <row r="12" spans="1:3" s="6" customFormat="1" ht="21">
      <c r="A12" s="71">
        <v>1.1</v>
      </c>
      <c r="B12" s="28" t="s">
        <v>178</v>
      </c>
      <c r="C12" s="19"/>
    </row>
    <row r="13" spans="1:3" s="6" customFormat="1" ht="21">
      <c r="A13" s="123" t="s">
        <v>110</v>
      </c>
      <c r="B13" s="122" t="s">
        <v>214</v>
      </c>
      <c r="C13" s="19"/>
    </row>
    <row r="14" spans="1:3" s="6" customFormat="1" ht="22.5" customHeight="1">
      <c r="A14" s="18" t="s">
        <v>111</v>
      </c>
      <c r="B14" s="32" t="s">
        <v>211</v>
      </c>
      <c r="C14" s="53">
        <v>23000</v>
      </c>
    </row>
    <row r="15" spans="1:3" s="6" customFormat="1" ht="21">
      <c r="A15" s="18" t="s">
        <v>109</v>
      </c>
      <c r="B15" s="77" t="s">
        <v>212</v>
      </c>
      <c r="C15" s="75"/>
    </row>
    <row r="16" spans="1:3" s="6" customFormat="1" ht="21">
      <c r="A16" s="137" t="s">
        <v>3</v>
      </c>
      <c r="B16" s="138"/>
      <c r="C16" s="47">
        <f>SUM(C14:C15)</f>
        <v>23000</v>
      </c>
    </row>
    <row r="17" spans="1:3" ht="21">
      <c r="A17" s="89" t="s">
        <v>112</v>
      </c>
      <c r="B17" s="122" t="s">
        <v>239</v>
      </c>
      <c r="C17" s="68"/>
    </row>
    <row r="18" spans="1:3" ht="21">
      <c r="A18" s="58">
        <v>3.1</v>
      </c>
      <c r="B18" s="80" t="s">
        <v>15</v>
      </c>
      <c r="C18" s="81"/>
    </row>
    <row r="19" spans="1:3" ht="19.5">
      <c r="A19" s="82"/>
      <c r="B19" s="25" t="s">
        <v>228</v>
      </c>
      <c r="C19" s="64"/>
    </row>
    <row r="20" spans="1:3" ht="21.75" customHeight="1" thickBot="1">
      <c r="A20" s="135" t="s">
        <v>4</v>
      </c>
      <c r="B20" s="136"/>
      <c r="C20" s="45">
        <f>+C16</f>
        <v>23000</v>
      </c>
    </row>
    <row r="21" ht="14.25" thickTop="1"/>
  </sheetData>
  <sheetProtection/>
  <mergeCells count="4">
    <mergeCell ref="A9:B9"/>
    <mergeCell ref="A7:C7"/>
    <mergeCell ref="A20:B20"/>
    <mergeCell ref="A16:B16"/>
  </mergeCells>
  <printOptions/>
  <pageMargins left="0.7480314960629921" right="0.4330708661417323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&amp;C&amp;"TH SarabunPSK,ธรรมดา"&amp;16&amp;P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1">
      <selection activeCell="B46" sqref="B46"/>
    </sheetView>
  </sheetViews>
  <sheetFormatPr defaultColWidth="9.140625" defaultRowHeight="12.75"/>
  <cols>
    <col min="1" max="1" width="11.00390625" style="6" bestFit="1" customWidth="1"/>
    <col min="2" max="2" width="62.57421875" style="6" bestFit="1" customWidth="1"/>
    <col min="3" max="3" width="15.28125" style="21" bestFit="1" customWidth="1"/>
    <col min="4" max="4" width="9.140625" style="6" customWidth="1"/>
    <col min="5" max="5" width="14.140625" style="6" bestFit="1" customWidth="1"/>
    <col min="6" max="16384" width="9.140625" style="6" customWidth="1"/>
  </cols>
  <sheetData>
    <row r="1" spans="1:3" ht="23.25" customHeight="1" hidden="1">
      <c r="A1" s="134" t="s">
        <v>271</v>
      </c>
      <c r="B1" s="134"/>
      <c r="C1" s="134"/>
    </row>
    <row r="2" spans="1:3" ht="23.25" customHeight="1" hidden="1">
      <c r="A2" s="134"/>
      <c r="B2" s="134"/>
      <c r="C2" s="134"/>
    </row>
    <row r="3" spans="1:3" ht="23.25" customHeight="1" hidden="1">
      <c r="A3" s="134"/>
      <c r="B3" s="134"/>
      <c r="C3" s="134"/>
    </row>
    <row r="4" spans="1:3" ht="23.25" customHeight="1" hidden="1">
      <c r="A4" s="134"/>
      <c r="B4" s="134"/>
      <c r="C4" s="134"/>
    </row>
    <row r="5" spans="1:3" ht="23.25" customHeight="1" hidden="1">
      <c r="A5" s="134"/>
      <c r="B5" s="134"/>
      <c r="C5" s="134"/>
    </row>
    <row r="6" spans="1:3" ht="23.25" customHeight="1" hidden="1">
      <c r="A6" s="134"/>
      <c r="B6" s="134"/>
      <c r="C6" s="134"/>
    </row>
    <row r="7" spans="1:3" ht="21">
      <c r="A7" s="134"/>
      <c r="B7" s="134"/>
      <c r="C7" s="134"/>
    </row>
    <row r="8" spans="1:3" ht="21">
      <c r="A8" s="85"/>
      <c r="B8" s="85"/>
      <c r="C8" s="85"/>
    </row>
    <row r="9" spans="1:3" ht="21">
      <c r="A9" s="83" t="s">
        <v>18</v>
      </c>
      <c r="B9" s="83" t="s">
        <v>19</v>
      </c>
      <c r="C9" s="19" t="s">
        <v>2</v>
      </c>
    </row>
    <row r="10" spans="1:3" ht="21">
      <c r="A10" s="83">
        <v>1</v>
      </c>
      <c r="B10" s="15" t="s">
        <v>35</v>
      </c>
      <c r="C10" s="12">
        <v>12000</v>
      </c>
    </row>
    <row r="11" spans="1:3" ht="21">
      <c r="A11" s="83">
        <v>2</v>
      </c>
      <c r="B11" s="15" t="s">
        <v>36</v>
      </c>
      <c r="C11" s="12">
        <v>12000</v>
      </c>
    </row>
    <row r="12" spans="1:3" ht="21">
      <c r="A12" s="83">
        <v>3</v>
      </c>
      <c r="B12" s="15" t="s">
        <v>34</v>
      </c>
      <c r="C12" s="12">
        <v>12000</v>
      </c>
    </row>
    <row r="13" spans="1:3" ht="21">
      <c r="A13" s="83">
        <v>4</v>
      </c>
      <c r="B13" s="15" t="s">
        <v>39</v>
      </c>
      <c r="C13" s="12">
        <v>12000</v>
      </c>
    </row>
    <row r="14" spans="1:3" ht="21">
      <c r="A14" s="83">
        <v>5</v>
      </c>
      <c r="B14" s="15" t="s">
        <v>37</v>
      </c>
      <c r="C14" s="12">
        <v>40000</v>
      </c>
    </row>
    <row r="15" spans="1:3" ht="21">
      <c r="A15" s="83">
        <v>6</v>
      </c>
      <c r="B15" s="15" t="s">
        <v>38</v>
      </c>
      <c r="C15" s="12">
        <v>12000</v>
      </c>
    </row>
    <row r="16" spans="1:3" ht="21">
      <c r="A16" s="83">
        <v>7</v>
      </c>
      <c r="B16" s="15" t="s">
        <v>40</v>
      </c>
      <c r="C16" s="12">
        <v>12000</v>
      </c>
    </row>
    <row r="17" spans="1:3" ht="21">
      <c r="A17" s="83">
        <v>8</v>
      </c>
      <c r="B17" s="15" t="s">
        <v>41</v>
      </c>
      <c r="C17" s="12">
        <v>20000</v>
      </c>
    </row>
    <row r="18" spans="1:3" ht="21">
      <c r="A18" s="83">
        <v>9</v>
      </c>
      <c r="B18" s="15" t="s">
        <v>42</v>
      </c>
      <c r="C18" s="12">
        <v>12000</v>
      </c>
    </row>
    <row r="19" spans="1:3" ht="21">
      <c r="A19" s="83">
        <v>10</v>
      </c>
      <c r="B19" s="15" t="s">
        <v>43</v>
      </c>
      <c r="C19" s="12">
        <v>12000</v>
      </c>
    </row>
    <row r="20" spans="1:3" ht="21">
      <c r="A20" s="83">
        <v>11</v>
      </c>
      <c r="B20" s="15" t="s">
        <v>44</v>
      </c>
      <c r="C20" s="12">
        <v>20000</v>
      </c>
    </row>
    <row r="21" spans="1:3" ht="21">
      <c r="A21" s="83">
        <v>12</v>
      </c>
      <c r="B21" s="15" t="s">
        <v>187</v>
      </c>
      <c r="C21" s="12">
        <v>22000</v>
      </c>
    </row>
    <row r="22" spans="1:3" ht="21">
      <c r="A22" s="83">
        <v>13</v>
      </c>
      <c r="B22" s="15" t="s">
        <v>45</v>
      </c>
      <c r="C22" s="12">
        <v>12000</v>
      </c>
    </row>
    <row r="23" spans="1:3" ht="21">
      <c r="A23" s="83">
        <v>14</v>
      </c>
      <c r="B23" s="15" t="s">
        <v>46</v>
      </c>
      <c r="C23" s="12">
        <v>12000</v>
      </c>
    </row>
    <row r="24" spans="1:3" ht="21">
      <c r="A24" s="83">
        <v>15</v>
      </c>
      <c r="B24" s="15" t="s">
        <v>188</v>
      </c>
      <c r="C24" s="12">
        <v>37500</v>
      </c>
    </row>
    <row r="25" spans="1:3" ht="21">
      <c r="A25" s="83">
        <v>16</v>
      </c>
      <c r="B25" s="15" t="s">
        <v>189</v>
      </c>
      <c r="C25" s="12">
        <v>37500</v>
      </c>
    </row>
    <row r="26" spans="1:3" ht="21">
      <c r="A26" s="83">
        <v>17</v>
      </c>
      <c r="B26" s="15" t="s">
        <v>190</v>
      </c>
      <c r="C26" s="12">
        <v>37500</v>
      </c>
    </row>
    <row r="27" spans="1:3" ht="21">
      <c r="A27" s="83">
        <v>18</v>
      </c>
      <c r="B27" s="15" t="s">
        <v>191</v>
      </c>
      <c r="C27" s="12">
        <v>37500</v>
      </c>
    </row>
    <row r="28" spans="1:3" ht="21">
      <c r="A28" s="83">
        <v>19</v>
      </c>
      <c r="B28" s="15" t="s">
        <v>192</v>
      </c>
      <c r="C28" s="12">
        <v>37500</v>
      </c>
    </row>
    <row r="29" spans="1:3" ht="21">
      <c r="A29" s="83">
        <v>20</v>
      </c>
      <c r="B29" s="15" t="s">
        <v>193</v>
      </c>
      <c r="C29" s="12">
        <v>37500</v>
      </c>
    </row>
    <row r="30" spans="1:3" ht="21">
      <c r="A30" s="83">
        <v>21</v>
      </c>
      <c r="B30" s="15" t="s">
        <v>194</v>
      </c>
      <c r="C30" s="12">
        <v>37500</v>
      </c>
    </row>
    <row r="31" spans="1:3" ht="21">
      <c r="A31" s="83">
        <v>22</v>
      </c>
      <c r="B31" s="15" t="s">
        <v>195</v>
      </c>
      <c r="C31" s="12">
        <v>37500</v>
      </c>
    </row>
    <row r="32" spans="1:3" ht="21">
      <c r="A32" s="83">
        <v>23</v>
      </c>
      <c r="B32" s="15" t="s">
        <v>196</v>
      </c>
      <c r="C32" s="12">
        <v>20000</v>
      </c>
    </row>
    <row r="33" spans="1:3" ht="21">
      <c r="A33" s="83">
        <v>24</v>
      </c>
      <c r="B33" s="15" t="s">
        <v>197</v>
      </c>
      <c r="C33" s="12">
        <v>20000</v>
      </c>
    </row>
    <row r="34" spans="1:3" ht="21">
      <c r="A34" s="83">
        <v>25</v>
      </c>
      <c r="B34" s="15" t="s">
        <v>198</v>
      </c>
      <c r="C34" s="12">
        <v>20000</v>
      </c>
    </row>
    <row r="35" spans="1:3" ht="21">
      <c r="A35" s="83">
        <v>26</v>
      </c>
      <c r="B35" s="15" t="s">
        <v>199</v>
      </c>
      <c r="C35" s="12">
        <v>20000</v>
      </c>
    </row>
    <row r="36" spans="1:3" ht="21">
      <c r="A36" s="83">
        <v>27</v>
      </c>
      <c r="B36" s="15" t="s">
        <v>201</v>
      </c>
      <c r="C36" s="12">
        <v>117000</v>
      </c>
    </row>
    <row r="37" spans="1:3" ht="21">
      <c r="A37" s="83">
        <v>28</v>
      </c>
      <c r="B37" s="15" t="s">
        <v>203</v>
      </c>
      <c r="C37" s="12">
        <v>154700</v>
      </c>
    </row>
    <row r="38" spans="1:5" ht="21">
      <c r="A38" s="83">
        <v>29</v>
      </c>
      <c r="B38" s="15" t="s">
        <v>202</v>
      </c>
      <c r="C38" s="12">
        <v>630000</v>
      </c>
      <c r="E38" s="127"/>
    </row>
    <row r="39" spans="1:5" ht="21">
      <c r="A39" s="83">
        <v>30</v>
      </c>
      <c r="B39" s="15" t="s">
        <v>200</v>
      </c>
      <c r="C39" s="12">
        <v>128700</v>
      </c>
      <c r="E39" s="127"/>
    </row>
    <row r="40" spans="1:5" ht="21">
      <c r="A40" s="83">
        <v>31</v>
      </c>
      <c r="B40" s="15" t="s">
        <v>48</v>
      </c>
      <c r="C40" s="12">
        <v>20000</v>
      </c>
      <c r="E40" s="128"/>
    </row>
    <row r="41" spans="1:5" ht="21">
      <c r="A41" s="83">
        <v>32</v>
      </c>
      <c r="B41" s="15" t="s">
        <v>272</v>
      </c>
      <c r="C41" s="12">
        <v>172000</v>
      </c>
      <c r="E41" s="128"/>
    </row>
    <row r="42" spans="1:5" ht="21">
      <c r="A42" s="83">
        <v>33</v>
      </c>
      <c r="B42" s="15" t="s">
        <v>273</v>
      </c>
      <c r="C42" s="12">
        <v>650000</v>
      </c>
      <c r="E42" s="128"/>
    </row>
    <row r="43" spans="1:3" ht="21">
      <c r="A43" s="83">
        <v>34</v>
      </c>
      <c r="B43" s="15" t="s">
        <v>204</v>
      </c>
      <c r="C43" s="12">
        <v>50000</v>
      </c>
    </row>
    <row r="44" spans="1:3" ht="21.75" thickBot="1">
      <c r="A44" s="158" t="s">
        <v>3</v>
      </c>
      <c r="B44" s="159"/>
      <c r="C44" s="84">
        <f>SUM(C10:C43)</f>
        <v>2524400</v>
      </c>
    </row>
    <row r="45" ht="21.75" thickTop="1"/>
  </sheetData>
  <sheetProtection/>
  <mergeCells count="2">
    <mergeCell ref="A1:C7"/>
    <mergeCell ref="A44:B44"/>
  </mergeCells>
  <printOptions horizontalCentered="1"/>
  <pageMargins left="0.35433070866141736" right="0.2362204724409449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&amp;C&amp;"TH SarabunPSK,ธรรมดา"&amp;16&amp;P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7">
      <selection activeCell="D12" sqref="D12"/>
    </sheetView>
  </sheetViews>
  <sheetFormatPr defaultColWidth="9.140625" defaultRowHeight="12.75"/>
  <cols>
    <col min="1" max="1" width="10.140625" style="6" bestFit="1" customWidth="1"/>
    <col min="2" max="2" width="49.421875" style="6" customWidth="1"/>
    <col min="3" max="3" width="11.28125" style="6" bestFit="1" customWidth="1"/>
    <col min="4" max="4" width="14.140625" style="6" bestFit="1" customWidth="1"/>
    <col min="5" max="16384" width="9.140625" style="6" customWidth="1"/>
  </cols>
  <sheetData>
    <row r="1" spans="1:3" ht="23.25" customHeight="1" hidden="1">
      <c r="A1" s="134" t="s">
        <v>270</v>
      </c>
      <c r="B1" s="134"/>
      <c r="C1" s="134"/>
    </row>
    <row r="2" spans="1:3" ht="23.25" customHeight="1" hidden="1">
      <c r="A2" s="134"/>
      <c r="B2" s="134"/>
      <c r="C2" s="134"/>
    </row>
    <row r="3" spans="1:3" ht="23.25" customHeight="1" hidden="1">
      <c r="A3" s="134"/>
      <c r="B3" s="134"/>
      <c r="C3" s="134"/>
    </row>
    <row r="4" spans="1:3" ht="23.25" customHeight="1" hidden="1">
      <c r="A4" s="134"/>
      <c r="B4" s="134"/>
      <c r="C4" s="134"/>
    </row>
    <row r="5" spans="1:3" ht="23.25" customHeight="1" hidden="1">
      <c r="A5" s="134"/>
      <c r="B5" s="134"/>
      <c r="C5" s="134"/>
    </row>
    <row r="6" spans="1:3" ht="23.25" customHeight="1" hidden="1">
      <c r="A6" s="134"/>
      <c r="B6" s="134"/>
      <c r="C6" s="134"/>
    </row>
    <row r="7" spans="1:3" ht="21" customHeight="1">
      <c r="A7" s="134"/>
      <c r="B7" s="134"/>
      <c r="C7" s="134"/>
    </row>
    <row r="8" spans="1:2" ht="12" customHeight="1">
      <c r="A8" s="85"/>
      <c r="B8" s="85"/>
    </row>
    <row r="9" spans="1:3" ht="21">
      <c r="A9" s="83" t="s">
        <v>18</v>
      </c>
      <c r="B9" s="83" t="s">
        <v>19</v>
      </c>
      <c r="C9" s="83" t="s">
        <v>278</v>
      </c>
    </row>
    <row r="10" spans="1:3" ht="21">
      <c r="A10" s="129" t="s">
        <v>71</v>
      </c>
      <c r="B10" s="15" t="s">
        <v>277</v>
      </c>
      <c r="C10" s="12">
        <v>29692</v>
      </c>
    </row>
    <row r="11" spans="1:3" ht="21">
      <c r="A11" s="129" t="s">
        <v>235</v>
      </c>
      <c r="B11" s="15" t="s">
        <v>279</v>
      </c>
      <c r="C11" s="12">
        <v>19770</v>
      </c>
    </row>
    <row r="12" spans="1:3" ht="21">
      <c r="A12" s="129" t="s">
        <v>236</v>
      </c>
      <c r="B12" s="15" t="s">
        <v>280</v>
      </c>
      <c r="C12" s="12">
        <v>17039</v>
      </c>
    </row>
    <row r="13" spans="1:3" ht="21">
      <c r="A13" s="129" t="s">
        <v>237</v>
      </c>
      <c r="B13" s="15" t="s">
        <v>281</v>
      </c>
      <c r="C13" s="12">
        <v>16283</v>
      </c>
    </row>
    <row r="14" spans="1:3" ht="21">
      <c r="A14" s="129" t="s">
        <v>238</v>
      </c>
      <c r="B14" s="15" t="s">
        <v>282</v>
      </c>
      <c r="C14" s="12">
        <v>35977</v>
      </c>
    </row>
    <row r="15" spans="1:3" ht="21">
      <c r="A15" s="137" t="s">
        <v>3</v>
      </c>
      <c r="B15" s="138"/>
      <c r="C15" s="160">
        <f>SUM(C10:C14)</f>
        <v>118761</v>
      </c>
    </row>
  </sheetData>
  <sheetProtection/>
  <mergeCells count="2">
    <mergeCell ref="A15:B15"/>
    <mergeCell ref="A1:C7"/>
  </mergeCells>
  <printOptions/>
  <pageMargins left="1.1023622047244095" right="0.7480314960629921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Header>&amp;C&amp;"TH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admin-pc</cp:lastModifiedBy>
  <cp:lastPrinted>2012-05-24T04:43:45Z</cp:lastPrinted>
  <dcterms:created xsi:type="dcterms:W3CDTF">2006-09-23T10:11:07Z</dcterms:created>
  <dcterms:modified xsi:type="dcterms:W3CDTF">2012-05-24T04:44:11Z</dcterms:modified>
  <cp:category/>
  <cp:version/>
  <cp:contentType/>
  <cp:contentStatus/>
</cp:coreProperties>
</file>